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granado\Desktop\DEPARTAMENTO CREDITO\ESTADISTICAS\2020\CIERRE ANUAL COLOCACIONES\"/>
    </mc:Choice>
  </mc:AlternateContent>
  <xr:revisionPtr revIDLastSave="0" documentId="8_{9F43CA6F-197F-4C1F-B69C-B24DACA80EDF}" xr6:coauthVersionLast="46" xr6:coauthVersionMax="46" xr10:uidLastSave="{00000000-0000-0000-0000-000000000000}"/>
  <bookViews>
    <workbookView xWindow="-120" yWindow="-120" windowWidth="19440" windowHeight="10440" tabRatio="710" activeTab="2" xr2:uid="{00000000-000D-0000-FFFF-FFFF00000000}"/>
  </bookViews>
  <sheets>
    <sheet name="Detalle por sesión" sheetId="15" r:id="rId1"/>
    <sheet name="SERIE AÑO" sheetId="13" r:id="rId2"/>
    <sheet name="ESTADISTICA ENVIO SEMANAL" sheetId="20" r:id="rId3"/>
    <sheet name="Hoja1" sheetId="19" state="hidden" r:id="rId4"/>
  </sheets>
  <externalReferences>
    <externalReference r:id="rId5"/>
  </externalReferences>
  <definedNames>
    <definedName name="_xlnm._FilterDatabase" localSheetId="2" hidden="1">'ESTADISTICA ENVIO SEMANAL'!#REF!</definedName>
    <definedName name="_xlnm._FilterDatabase" localSheetId="3" hidden="1">Hoja1!$B$8:$H$14</definedName>
    <definedName name="_xlnm.Print_Area" localSheetId="2">'ESTADISTICA ENVIO SEMANAL'!$A$1:$K$104</definedName>
    <definedName name="Print_Area" localSheetId="1">'SERIE AÑO'!$A$2:$Y$33</definedName>
  </definedNames>
  <calcPr calcId="191029"/>
</workbook>
</file>

<file path=xl/calcChain.xml><?xml version="1.0" encoding="utf-8"?>
<calcChain xmlns="http://schemas.openxmlformats.org/spreadsheetml/2006/main">
  <c r="X17" i="13" l="1"/>
  <c r="AC17" i="13"/>
  <c r="AG17" i="13"/>
  <c r="O16" i="13"/>
  <c r="E51" i="20" l="1"/>
  <c r="D51" i="20"/>
  <c r="E49" i="20"/>
  <c r="D49" i="20"/>
  <c r="E45" i="20"/>
  <c r="D45" i="20"/>
  <c r="C45" i="20"/>
  <c r="B45" i="20"/>
  <c r="C49" i="20" l="1"/>
  <c r="B49" i="20"/>
  <c r="N50" i="15" l="1"/>
  <c r="C50" i="15"/>
  <c r="N48" i="15" l="1"/>
  <c r="C48" i="15"/>
  <c r="N46" i="15" l="1"/>
  <c r="C46" i="15"/>
  <c r="N45" i="15" l="1"/>
  <c r="C45" i="15"/>
  <c r="N43" i="15" l="1"/>
  <c r="C43" i="15"/>
  <c r="N42" i="15" l="1"/>
  <c r="C42" i="15"/>
  <c r="E60" i="20" l="1"/>
  <c r="E47" i="20"/>
  <c r="D47" i="20"/>
  <c r="N41" i="15" l="1"/>
  <c r="C41" i="15"/>
  <c r="N40" i="15" l="1"/>
  <c r="C40" i="15"/>
  <c r="N39" i="15" l="1"/>
  <c r="C39" i="15"/>
  <c r="N38" i="15" l="1"/>
  <c r="C38" i="15"/>
  <c r="N37" i="15" l="1"/>
  <c r="C37" i="15"/>
  <c r="N36" i="15" l="1"/>
  <c r="C36" i="15"/>
  <c r="N34" i="15" l="1"/>
  <c r="C34" i="15"/>
  <c r="N33" i="15" l="1"/>
  <c r="C33" i="15"/>
  <c r="N32" i="15" l="1"/>
  <c r="C32" i="15"/>
  <c r="N31" i="15" l="1"/>
  <c r="C31" i="15"/>
  <c r="P30" i="15" l="1"/>
  <c r="N30" i="15"/>
  <c r="C30" i="15"/>
  <c r="N29" i="15" l="1"/>
  <c r="C29" i="15"/>
  <c r="N28" i="15" l="1"/>
  <c r="C28" i="15"/>
  <c r="N27" i="15" l="1"/>
  <c r="C27" i="15"/>
  <c r="C22" i="15" l="1"/>
  <c r="N26" i="15" l="1"/>
  <c r="C26" i="15"/>
  <c r="C25" i="15"/>
  <c r="G45" i="20" l="1"/>
  <c r="F45" i="20"/>
  <c r="N5" i="15"/>
  <c r="C5" i="15"/>
  <c r="C21" i="15"/>
  <c r="N25" i="15"/>
  <c r="G71" i="15" l="1"/>
  <c r="H71" i="15" l="1"/>
  <c r="H72" i="15" s="1"/>
  <c r="E71" i="15"/>
  <c r="E72" i="15" s="1"/>
  <c r="N24" i="15"/>
  <c r="C24" i="15"/>
  <c r="B53" i="20" l="1"/>
  <c r="H64" i="15"/>
  <c r="E64" i="15"/>
  <c r="H63" i="15"/>
  <c r="E63" i="15"/>
  <c r="H62" i="15"/>
  <c r="E62" i="15"/>
  <c r="H61" i="15"/>
  <c r="E61" i="15"/>
  <c r="H65" i="15" l="1"/>
  <c r="E65" i="15"/>
  <c r="N23" i="15"/>
  <c r="C23" i="15"/>
  <c r="N22" i="15" l="1"/>
  <c r="N21" i="15" l="1"/>
  <c r="N20" i="15" l="1"/>
  <c r="C20" i="15"/>
  <c r="N19" i="15" l="1"/>
  <c r="C18" i="15" l="1"/>
  <c r="N18" i="15"/>
  <c r="D59" i="20" l="1"/>
  <c r="N10" i="15" l="1"/>
  <c r="C10" i="15"/>
  <c r="W9" i="15" l="1"/>
  <c r="E53" i="20" l="1"/>
  <c r="D53" i="20"/>
  <c r="C53" i="20"/>
  <c r="G46" i="20"/>
  <c r="K46" i="20" s="1"/>
  <c r="G47" i="20"/>
  <c r="K47" i="20" s="1"/>
  <c r="G48" i="20"/>
  <c r="I48" i="20" s="1"/>
  <c r="G49" i="20"/>
  <c r="K49" i="20" s="1"/>
  <c r="G50" i="20"/>
  <c r="K50" i="20" s="1"/>
  <c r="G51" i="20"/>
  <c r="K51" i="20" s="1"/>
  <c r="G52" i="20"/>
  <c r="K52" i="20" s="1"/>
  <c r="F46" i="20"/>
  <c r="F47" i="20"/>
  <c r="H47" i="20" s="1"/>
  <c r="F48" i="20"/>
  <c r="J48" i="20" s="1"/>
  <c r="F49" i="20"/>
  <c r="J49" i="20" s="1"/>
  <c r="F50" i="20"/>
  <c r="J50" i="20" s="1"/>
  <c r="F51" i="20"/>
  <c r="H51" i="20" s="1"/>
  <c r="F52" i="20"/>
  <c r="H52" i="20" s="1"/>
  <c r="W3" i="15"/>
  <c r="W4" i="15"/>
  <c r="W5" i="15"/>
  <c r="W6" i="15"/>
  <c r="W7" i="15"/>
  <c r="W8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6" i="15"/>
  <c r="W47" i="15"/>
  <c r="W48" i="15"/>
  <c r="W49" i="15"/>
  <c r="W50" i="15"/>
  <c r="W51" i="15"/>
  <c r="W52" i="15"/>
  <c r="W53" i="15"/>
  <c r="W2" i="15"/>
  <c r="H46" i="20" l="1"/>
  <c r="F53" i="20"/>
  <c r="H50" i="20"/>
  <c r="H49" i="20"/>
  <c r="H48" i="20"/>
  <c r="I47" i="20"/>
  <c r="I52" i="20"/>
  <c r="I49" i="20"/>
  <c r="J47" i="20"/>
  <c r="I46" i="20"/>
  <c r="J46" i="20"/>
  <c r="J52" i="20"/>
  <c r="I51" i="20"/>
  <c r="J51" i="20"/>
  <c r="I50" i="20"/>
  <c r="K48" i="20"/>
  <c r="E26" i="20" l="1"/>
  <c r="E22" i="20"/>
  <c r="E18" i="20"/>
  <c r="E14" i="20"/>
  <c r="B26" i="20"/>
  <c r="B22" i="20"/>
  <c r="B18" i="20"/>
  <c r="B14" i="20"/>
  <c r="E27" i="20"/>
  <c r="F68" i="20"/>
  <c r="C68" i="20"/>
  <c r="F60" i="20"/>
  <c r="C60" i="20"/>
  <c r="B60" i="20"/>
  <c r="G59" i="20"/>
  <c r="G58" i="20"/>
  <c r="D58" i="20"/>
  <c r="C38" i="20"/>
  <c r="B38" i="20"/>
  <c r="B7" i="20"/>
  <c r="K54" i="15"/>
  <c r="C12" i="20" s="1"/>
  <c r="H12" i="20" s="1"/>
  <c r="J54" i="15"/>
  <c r="C25" i="20" s="1"/>
  <c r="H25" i="20" s="1"/>
  <c r="I54" i="15"/>
  <c r="C21" i="20" s="1"/>
  <c r="H21" i="20" s="1"/>
  <c r="H54" i="15"/>
  <c r="C17" i="20" s="1"/>
  <c r="H17" i="20" s="1"/>
  <c r="G54" i="15"/>
  <c r="C13" i="20" s="1"/>
  <c r="H13" i="20" s="1"/>
  <c r="F54" i="15"/>
  <c r="C24" i="20" s="1"/>
  <c r="H24" i="20" s="1"/>
  <c r="E54" i="15"/>
  <c r="C20" i="20" s="1"/>
  <c r="H20" i="20" s="1"/>
  <c r="D54" i="15"/>
  <c r="C16" i="20" s="1"/>
  <c r="H16" i="20" s="1"/>
  <c r="C54" i="15"/>
  <c r="G67" i="20" l="1"/>
  <c r="E68" i="20"/>
  <c r="G68" i="20" s="1"/>
  <c r="H18" i="20"/>
  <c r="H26" i="20"/>
  <c r="D35" i="20"/>
  <c r="D16" i="20"/>
  <c r="C18" i="20"/>
  <c r="D18" i="20" s="1"/>
  <c r="D37" i="20"/>
  <c r="D38" i="20" s="1"/>
  <c r="D17" i="20"/>
  <c r="D25" i="20"/>
  <c r="D24" i="20"/>
  <c r="C26" i="20"/>
  <c r="D26" i="20" s="1"/>
  <c r="H22" i="20"/>
  <c r="D21" i="20"/>
  <c r="C11" i="20"/>
  <c r="H11" i="20" s="1"/>
  <c r="E66" i="20"/>
  <c r="G66" i="20" s="1"/>
  <c r="I45" i="20"/>
  <c r="G53" i="20"/>
  <c r="I53" i="20" s="1"/>
  <c r="H45" i="20"/>
  <c r="H53" i="20"/>
  <c r="D13" i="20"/>
  <c r="D12" i="20"/>
  <c r="C22" i="20"/>
  <c r="D22" i="20" s="1"/>
  <c r="D20" i="20"/>
  <c r="D60" i="20"/>
  <c r="B27" i="20"/>
  <c r="B68" i="20" s="1"/>
  <c r="G60" i="20"/>
  <c r="J45" i="20"/>
  <c r="K45" i="20"/>
  <c r="D68" i="20" l="1"/>
  <c r="B66" i="20"/>
  <c r="D66" i="20" s="1"/>
  <c r="B67" i="20"/>
  <c r="D67" i="20" s="1"/>
  <c r="C27" i="20"/>
  <c r="D27" i="20" s="1"/>
  <c r="D11" i="20"/>
  <c r="H27" i="20"/>
  <c r="H14" i="20"/>
  <c r="C14" i="20"/>
  <c r="D14" i="20" s="1"/>
  <c r="J53" i="20"/>
  <c r="K53" i="20"/>
  <c r="O54" i="15"/>
  <c r="F16" i="20" s="1"/>
  <c r="P54" i="15"/>
  <c r="F20" i="20" s="1"/>
  <c r="Q54" i="15"/>
  <c r="F24" i="20" s="1"/>
  <c r="R54" i="15"/>
  <c r="F13" i="20" s="1"/>
  <c r="S54" i="15"/>
  <c r="T54" i="15"/>
  <c r="U54" i="15"/>
  <c r="V54" i="15"/>
  <c r="F12" i="20" s="1"/>
  <c r="N54" i="15"/>
  <c r="F11" i="20" s="1"/>
  <c r="L3" i="15"/>
  <c r="L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2" i="15"/>
  <c r="F25" i="20" l="1"/>
  <c r="F26" i="20" s="1"/>
  <c r="G26" i="20" s="1"/>
  <c r="E37" i="20"/>
  <c r="F17" i="20"/>
  <c r="E35" i="20"/>
  <c r="E38" i="20" s="1"/>
  <c r="I16" i="20"/>
  <c r="G16" i="20"/>
  <c r="I24" i="20"/>
  <c r="G24" i="20"/>
  <c r="F21" i="20"/>
  <c r="F22" i="20" s="1"/>
  <c r="G22" i="20" s="1"/>
  <c r="I12" i="20"/>
  <c r="G12" i="20"/>
  <c r="I20" i="20"/>
  <c r="G20" i="20"/>
  <c r="I13" i="20"/>
  <c r="G13" i="20"/>
  <c r="I11" i="20"/>
  <c r="F14" i="20"/>
  <c r="G14" i="20" s="1"/>
  <c r="G11" i="20"/>
  <c r="I17" i="20" l="1"/>
  <c r="I18" i="20" s="1"/>
  <c r="G17" i="20"/>
  <c r="F18" i="20"/>
  <c r="G18" i="20" s="1"/>
  <c r="I25" i="20"/>
  <c r="I26" i="20" s="1"/>
  <c r="G25" i="20"/>
  <c r="F27" i="20"/>
  <c r="G27" i="20" s="1"/>
  <c r="I21" i="20"/>
  <c r="I22" i="20" s="1"/>
  <c r="G21" i="20"/>
  <c r="I14" i="20"/>
  <c r="I27" i="20" l="1"/>
  <c r="D15" i="19"/>
  <c r="F15" i="19"/>
  <c r="G15" i="19"/>
  <c r="H15" i="19"/>
  <c r="E15" i="19"/>
  <c r="T21" i="13" l="1"/>
  <c r="U21" i="13"/>
  <c r="V21" i="13"/>
  <c r="W21" i="13"/>
  <c r="Y21" i="13"/>
  <c r="Z21" i="13"/>
  <c r="AA21" i="13"/>
  <c r="M3" i="15" l="1"/>
  <c r="M4" i="15" s="1"/>
  <c r="O5" i="13" l="1"/>
  <c r="F85" i="13" l="1"/>
  <c r="F86" i="13" s="1"/>
  <c r="E85" i="13"/>
  <c r="E86" i="13" s="1"/>
  <c r="D85" i="13"/>
  <c r="D86" i="13" s="1"/>
  <c r="C85" i="13"/>
  <c r="C86" i="13" s="1"/>
  <c r="F58" i="13"/>
  <c r="F59" i="13" s="1"/>
  <c r="E58" i="13"/>
  <c r="E59" i="13" s="1"/>
  <c r="X33" i="13"/>
  <c r="AD32" i="13"/>
  <c r="Y32" i="13"/>
  <c r="W32" i="13"/>
  <c r="V32" i="13"/>
  <c r="U32" i="13"/>
  <c r="T32" i="13"/>
  <c r="J32" i="13"/>
  <c r="AB32" i="13" s="1"/>
  <c r="I32" i="13"/>
  <c r="AA32" i="13" s="1"/>
  <c r="AD31" i="13"/>
  <c r="Y31" i="13"/>
  <c r="W31" i="13"/>
  <c r="V31" i="13"/>
  <c r="U31" i="13"/>
  <c r="T31" i="13"/>
  <c r="F31" i="13"/>
  <c r="AD30" i="13"/>
  <c r="Y30" i="13"/>
  <c r="W30" i="13"/>
  <c r="V30" i="13"/>
  <c r="U30" i="13"/>
  <c r="T30" i="13"/>
  <c r="J30" i="13"/>
  <c r="AB31" i="13" s="1"/>
  <c r="I30" i="13"/>
  <c r="AA31" i="13" s="1"/>
  <c r="AD29" i="13"/>
  <c r="Y29" i="13"/>
  <c r="W29" i="13"/>
  <c r="V29" i="13"/>
  <c r="U29" i="13"/>
  <c r="T29" i="13"/>
  <c r="J29" i="13"/>
  <c r="I29" i="13"/>
  <c r="AA30" i="13" s="1"/>
  <c r="AD28" i="13"/>
  <c r="Z28" i="13"/>
  <c r="W28" i="13"/>
  <c r="V28" i="13"/>
  <c r="U28" i="13"/>
  <c r="T28" i="13"/>
  <c r="J28" i="13"/>
  <c r="AB29" i="13" s="1"/>
  <c r="I28" i="13"/>
  <c r="AD27" i="13"/>
  <c r="Z27" i="13"/>
  <c r="W27" i="13"/>
  <c r="V27" i="13"/>
  <c r="U27" i="13"/>
  <c r="T27" i="13"/>
  <c r="J27" i="13"/>
  <c r="AB28" i="13" s="1"/>
  <c r="I27" i="13"/>
  <c r="AA27" i="13" s="1"/>
  <c r="G27" i="13"/>
  <c r="Y28" i="13" s="1"/>
  <c r="AD26" i="13"/>
  <c r="AB26" i="13"/>
  <c r="AA26" i="13"/>
  <c r="Z26" i="13"/>
  <c r="W26" i="13"/>
  <c r="V26" i="13"/>
  <c r="U26" i="13"/>
  <c r="T26" i="13"/>
  <c r="G26" i="13"/>
  <c r="AD25" i="13"/>
  <c r="AB25" i="13"/>
  <c r="AA25" i="13"/>
  <c r="W25" i="13"/>
  <c r="V25" i="13"/>
  <c r="U25" i="13"/>
  <c r="T25" i="13"/>
  <c r="G25" i="13"/>
  <c r="AD24" i="13"/>
  <c r="AB24" i="13"/>
  <c r="AA24" i="13"/>
  <c r="W24" i="13"/>
  <c r="V24" i="13"/>
  <c r="U24" i="13"/>
  <c r="T24" i="13"/>
  <c r="H24" i="13"/>
  <c r="Z25" i="13" s="1"/>
  <c r="G24" i="13"/>
  <c r="AD23" i="13"/>
  <c r="AB23" i="13"/>
  <c r="W23" i="13"/>
  <c r="V23" i="13"/>
  <c r="U23" i="13"/>
  <c r="T23" i="13"/>
  <c r="H23" i="13"/>
  <c r="G23" i="13"/>
  <c r="Y23" i="13" s="1"/>
  <c r="AD22" i="13"/>
  <c r="AB22" i="13"/>
  <c r="Z22" i="13"/>
  <c r="Y22" i="13"/>
  <c r="W22" i="13"/>
  <c r="V22" i="13"/>
  <c r="U22" i="13"/>
  <c r="I22" i="13"/>
  <c r="AA22" i="13" s="1"/>
  <c r="AD21" i="13"/>
  <c r="AB21" i="13"/>
  <c r="T22" i="13"/>
  <c r="AD16" i="13"/>
  <c r="AB16" i="13"/>
  <c r="AA16" i="13"/>
  <c r="Y16" i="13"/>
  <c r="W16" i="13"/>
  <c r="V16" i="13"/>
  <c r="U16" i="13"/>
  <c r="T16" i="13"/>
  <c r="AD15" i="13"/>
  <c r="AB15" i="13"/>
  <c r="AA15" i="13"/>
  <c r="Y15" i="13"/>
  <c r="W15" i="13"/>
  <c r="V15" i="13"/>
  <c r="U15" i="13"/>
  <c r="T15" i="13"/>
  <c r="O15" i="13"/>
  <c r="AD14" i="13"/>
  <c r="AB14" i="13"/>
  <c r="AA14" i="13"/>
  <c r="Y14" i="13"/>
  <c r="W14" i="13"/>
  <c r="V14" i="13"/>
  <c r="U14" i="13"/>
  <c r="T14" i="13"/>
  <c r="O14" i="13"/>
  <c r="AD13" i="13"/>
  <c r="AB13" i="13"/>
  <c r="AA13" i="13"/>
  <c r="Y13" i="13"/>
  <c r="W13" i="13"/>
  <c r="V13" i="13"/>
  <c r="U13" i="13"/>
  <c r="T13" i="13"/>
  <c r="O13" i="13"/>
  <c r="AD12" i="13"/>
  <c r="AB12" i="13"/>
  <c r="AA12" i="13"/>
  <c r="Z12" i="13"/>
  <c r="Y12" i="13"/>
  <c r="W12" i="13"/>
  <c r="V12" i="13"/>
  <c r="U12" i="13"/>
  <c r="T12" i="13"/>
  <c r="O12" i="13"/>
  <c r="AD11" i="13"/>
  <c r="AB11" i="13"/>
  <c r="AA11" i="13"/>
  <c r="Z11" i="13"/>
  <c r="Y11" i="13"/>
  <c r="W11" i="13"/>
  <c r="V11" i="13"/>
  <c r="U11" i="13"/>
  <c r="T11" i="13"/>
  <c r="O11" i="13"/>
  <c r="AD10" i="13"/>
  <c r="AB10" i="13"/>
  <c r="AA10" i="13"/>
  <c r="Z10" i="13"/>
  <c r="Y10" i="13"/>
  <c r="W10" i="13"/>
  <c r="V10" i="13"/>
  <c r="U10" i="13"/>
  <c r="T10" i="13"/>
  <c r="O10" i="13"/>
  <c r="AD9" i="13"/>
  <c r="AB9" i="13"/>
  <c r="AA9" i="13"/>
  <c r="Z9" i="13"/>
  <c r="Y9" i="13"/>
  <c r="W9" i="13"/>
  <c r="V9" i="13"/>
  <c r="U9" i="13"/>
  <c r="T9" i="13"/>
  <c r="O9" i="13"/>
  <c r="AD8" i="13"/>
  <c r="AB8" i="13"/>
  <c r="AA8" i="13"/>
  <c r="Z8" i="13"/>
  <c r="Y8" i="13"/>
  <c r="W8" i="13"/>
  <c r="V8" i="13"/>
  <c r="U8" i="13"/>
  <c r="T8" i="13"/>
  <c r="O8" i="13"/>
  <c r="AD7" i="13"/>
  <c r="AB7" i="13"/>
  <c r="AA7" i="13"/>
  <c r="Z7" i="13"/>
  <c r="Y7" i="13"/>
  <c r="W7" i="13"/>
  <c r="V7" i="13"/>
  <c r="U7" i="13"/>
  <c r="T7" i="13"/>
  <c r="O7" i="13"/>
  <c r="AD6" i="13"/>
  <c r="Z6" i="13"/>
  <c r="Y6" i="13"/>
  <c r="T6" i="13"/>
  <c r="O6" i="13"/>
  <c r="AF5" i="13"/>
  <c r="AE5" i="13"/>
  <c r="AD5" i="13"/>
  <c r="AB5" i="13"/>
  <c r="AA5" i="13"/>
  <c r="Z5" i="13"/>
  <c r="Y5" i="13"/>
  <c r="W5" i="13"/>
  <c r="V5" i="13"/>
  <c r="U5" i="13"/>
  <c r="T5" i="13"/>
  <c r="X3" i="15"/>
  <c r="Y17" i="13" l="1"/>
  <c r="Z17" i="13"/>
  <c r="AB6" i="13"/>
  <c r="AB17" i="13"/>
  <c r="AD17" i="13"/>
  <c r="T17" i="13"/>
  <c r="AA23" i="13"/>
  <c r="Y27" i="13"/>
  <c r="AB30" i="13"/>
  <c r="AA28" i="13"/>
  <c r="AA29" i="13"/>
  <c r="Z24" i="13"/>
  <c r="Y25" i="13"/>
  <c r="AB27" i="13"/>
  <c r="Z23" i="13"/>
  <c r="Y24" i="13"/>
  <c r="Y26" i="13"/>
  <c r="W54" i="15"/>
  <c r="X54" i="15" s="1"/>
  <c r="L54" i="15"/>
  <c r="M54" i="15" s="1"/>
  <c r="M5" i="15"/>
  <c r="V33" i="13"/>
  <c r="AD33" i="13"/>
  <c r="W33" i="13"/>
  <c r="U33" i="13"/>
  <c r="U6" i="13"/>
  <c r="U17" i="13" s="1"/>
  <c r="AE6" i="13"/>
  <c r="T33" i="13"/>
  <c r="V6" i="13"/>
  <c r="V17" i="13" s="1"/>
  <c r="AF6" i="13"/>
  <c r="AF7" i="13" s="1"/>
  <c r="AF8" i="13" s="1"/>
  <c r="AF9" i="13" s="1"/>
  <c r="AF10" i="13" s="1"/>
  <c r="AF11" i="13" s="1"/>
  <c r="AF12" i="13" s="1"/>
  <c r="AF13" i="13" s="1"/>
  <c r="AF14" i="13" s="1"/>
  <c r="AF15" i="13" s="1"/>
  <c r="AF16" i="13" s="1"/>
  <c r="AA6" i="13"/>
  <c r="AA17" i="13" s="1"/>
  <c r="W6" i="13"/>
  <c r="W17" i="13" s="1"/>
  <c r="AF17" i="13" l="1"/>
  <c r="M6" i="15"/>
  <c r="M7" i="15" s="1"/>
  <c r="Z33" i="13"/>
  <c r="AA33" i="13"/>
  <c r="AB33" i="13"/>
  <c r="Y33" i="13"/>
  <c r="AH5" i="13"/>
  <c r="AE7" i="13"/>
  <c r="AE8" i="13" s="1"/>
  <c r="AE9" i="13" s="1"/>
  <c r="M8" i="15" l="1"/>
  <c r="M9" i="15" s="1"/>
  <c r="M10" i="15" s="1"/>
  <c r="M11" i="15" s="1"/>
  <c r="Q5" i="13"/>
  <c r="AI5" i="13" s="1"/>
  <c r="AE10" i="13"/>
  <c r="AH6" i="13" l="1"/>
  <c r="M12" i="15"/>
  <c r="Q6" i="13" s="1"/>
  <c r="AI6" i="13" s="1"/>
  <c r="AE11" i="13"/>
  <c r="M13" i="15" l="1"/>
  <c r="AE12" i="13"/>
  <c r="AE13" i="13" s="1"/>
  <c r="M14" i="15" l="1"/>
  <c r="AE14" i="13"/>
  <c r="AH7" i="13" l="1"/>
  <c r="M15" i="15"/>
  <c r="AE15" i="13"/>
  <c r="AE16" i="13" s="1"/>
  <c r="AE17" i="13" s="1"/>
  <c r="X4" i="15"/>
  <c r="X5" i="15" s="1"/>
  <c r="X6" i="15" l="1"/>
  <c r="X7" i="15" s="1"/>
  <c r="M16" i="15"/>
  <c r="X8" i="15" l="1"/>
  <c r="X9" i="15" s="1"/>
  <c r="Q21" i="13"/>
  <c r="AI21" i="13" s="1"/>
  <c r="M17" i="15"/>
  <c r="Q7" i="13" s="1"/>
  <c r="AI7" i="13" s="1"/>
  <c r="X10" i="15" l="1"/>
  <c r="X11" i="15" s="1"/>
  <c r="M18" i="15"/>
  <c r="AH8" i="13" s="1"/>
  <c r="AH21" i="13" l="1"/>
  <c r="X12" i="15"/>
  <c r="Q22" i="13" s="1"/>
  <c r="AI22" i="13" s="1"/>
  <c r="M19" i="15"/>
  <c r="M20" i="15" l="1"/>
  <c r="AH22" i="13"/>
  <c r="X13" i="15"/>
  <c r="M21" i="15" l="1"/>
  <c r="M22" i="15" s="1"/>
  <c r="Q8" i="13"/>
  <c r="AI8" i="13" s="1"/>
  <c r="AH9" i="13"/>
  <c r="X14" i="15"/>
  <c r="M23" i="15" l="1"/>
  <c r="M24" i="15" s="1"/>
  <c r="M25" i="15" s="1"/>
  <c r="AH23" i="13"/>
  <c r="X15" i="15"/>
  <c r="Q9" i="13" l="1"/>
  <c r="AI9" i="13" s="1"/>
  <c r="AH10" i="13"/>
  <c r="X16" i="15"/>
  <c r="M26" i="15" l="1"/>
  <c r="AH11" i="13"/>
  <c r="X17" i="15"/>
  <c r="Q23" i="13" s="1"/>
  <c r="AI23" i="13" s="1"/>
  <c r="M27" i="15" l="1"/>
  <c r="M28" i="15" s="1"/>
  <c r="X18" i="15"/>
  <c r="AH24" i="13" s="1"/>
  <c r="M29" i="15" l="1"/>
  <c r="M30" i="15" s="1"/>
  <c r="M31" i="15" s="1"/>
  <c r="M32" i="15" s="1"/>
  <c r="Q10" i="13"/>
  <c r="AI10" i="13" s="1"/>
  <c r="X19" i="15"/>
  <c r="M33" i="15" l="1"/>
  <c r="AH12" i="13"/>
  <c r="X20" i="15"/>
  <c r="Q24" i="13" s="1"/>
  <c r="AI24" i="13" s="1"/>
  <c r="M34" i="15" l="1"/>
  <c r="M35" i="15" s="1"/>
  <c r="M36" i="15" s="1"/>
  <c r="M37" i="15" s="1"/>
  <c r="Q11" i="13"/>
  <c r="AI11" i="13" s="1"/>
  <c r="M38" i="15"/>
  <c r="M39" i="15" s="1"/>
  <c r="X21" i="15"/>
  <c r="AI12" i="13" l="1"/>
  <c r="Q12" i="13"/>
  <c r="M40" i="15"/>
  <c r="X22" i="15"/>
  <c r="X23" i="15" l="1"/>
  <c r="X24" i="15" s="1"/>
  <c r="Q25" i="13" s="1"/>
  <c r="M41" i="15"/>
  <c r="Q13" i="13" s="1"/>
  <c r="AI13" i="13" s="1"/>
  <c r="AH13" i="13"/>
  <c r="AH25" i="13"/>
  <c r="M42" i="15" l="1"/>
  <c r="X25" i="15"/>
  <c r="M43" i="15" l="1"/>
  <c r="M44" i="15" s="1"/>
  <c r="M45" i="15" s="1"/>
  <c r="X26" i="15"/>
  <c r="AH14" i="13"/>
  <c r="X27" i="15" l="1"/>
  <c r="X28" i="15" s="1"/>
  <c r="M46" i="15"/>
  <c r="Q14" i="13" s="1"/>
  <c r="AI14" i="13" s="1"/>
  <c r="AH26" i="13"/>
  <c r="X29" i="15" l="1"/>
  <c r="X30" i="15" s="1"/>
  <c r="Q26" i="13"/>
  <c r="M47" i="15"/>
  <c r="M48" i="15" l="1"/>
  <c r="X31" i="15"/>
  <c r="X32" i="15" s="1"/>
  <c r="AH15" i="13"/>
  <c r="AH17" i="13" s="1"/>
  <c r="AH27" i="13"/>
  <c r="M49" i="15" l="1"/>
  <c r="M50" i="15" s="1"/>
  <c r="X33" i="15"/>
  <c r="Q27" i="13" s="1"/>
  <c r="M51" i="15" l="1"/>
  <c r="M52" i="15" s="1"/>
  <c r="Q15" i="13"/>
  <c r="AI15" i="13" s="1"/>
  <c r="X34" i="15"/>
  <c r="M53" i="15" l="1"/>
  <c r="Q16" i="13"/>
  <c r="AI16" i="13" s="1"/>
  <c r="AI17" i="13" s="1"/>
  <c r="X35" i="15"/>
  <c r="X36" i="15" l="1"/>
  <c r="X37" i="15" s="1"/>
  <c r="Q28" i="13" s="1"/>
  <c r="AH28" i="13"/>
  <c r="X38" i="15" l="1"/>
  <c r="X39" i="15" l="1"/>
  <c r="X40" i="15" l="1"/>
  <c r="X41" i="15" s="1"/>
  <c r="AH29" i="13"/>
  <c r="X42" i="15" l="1"/>
  <c r="X43" i="15" s="1"/>
  <c r="X44" i="15" s="1"/>
  <c r="Q29" i="13"/>
  <c r="X45" i="15" l="1"/>
  <c r="AH30" i="13"/>
  <c r="X46" i="15" l="1"/>
  <c r="Q30" i="13" s="1"/>
  <c r="X47" i="15" l="1"/>
  <c r="X48" i="15" s="1"/>
  <c r="X49" i="15" l="1"/>
  <c r="X50" i="15" s="1"/>
  <c r="Q31" i="13" s="1"/>
  <c r="AH31" i="13"/>
  <c r="X51" i="15" l="1"/>
  <c r="X52" i="15" s="1"/>
  <c r="AH33" i="13"/>
  <c r="X53" i="15" l="1"/>
  <c r="Q32" i="13"/>
  <c r="AI25" i="13"/>
  <c r="AI26" i="13" l="1"/>
  <c r="AI27" i="13" s="1"/>
  <c r="AI28" i="13" s="1"/>
  <c r="AI29" i="13" s="1"/>
  <c r="AI30" i="13" l="1"/>
  <c r="AI31" i="13" s="1"/>
  <c r="AI32" i="13" s="1"/>
  <c r="AI3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Flores Avila</author>
  </authors>
  <commentList>
    <comment ref="K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Jennifer Flores Avila:</t>
        </r>
        <r>
          <rPr>
            <sz val="9"/>
            <color indexed="81"/>
            <rFont val="Tahoma"/>
            <family val="2"/>
          </rPr>
          <t xml:space="preserve">
Se modifica la cantidad de FAC ya que algúnos casos no cuentan con código de FAC por lo que se realiza una modificación </t>
        </r>
      </text>
    </comment>
    <comment ref="K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Jennifer Flores Avila:</t>
        </r>
        <r>
          <rPr>
            <sz val="9"/>
            <color indexed="81"/>
            <rFont val="Tahoma"/>
            <family val="2"/>
          </rPr>
          <t xml:space="preserve">
Se desestimo una solicitud del FAC lo cual no deja registro en el modulo interno </t>
        </r>
      </text>
    </comment>
    <comment ref="K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Jennifer Flores Avila:</t>
        </r>
        <r>
          <rPr>
            <sz val="9"/>
            <color indexed="81"/>
            <rFont val="Tahoma"/>
            <family val="2"/>
          </rPr>
          <t xml:space="preserve">
hay una Solicitud descolocada que no aparece en el modulo interno, ya que cuando se descoloca se pierde la informacion de las mismas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Flores Avila</author>
  </authors>
  <commentList>
    <comment ref="E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Jennifer Flores Avila:</t>
        </r>
        <r>
          <rPr>
            <sz val="9"/>
            <color indexed="81"/>
            <rFont val="Tahoma"/>
            <family val="2"/>
          </rPr>
          <t xml:space="preserve">
Se modifica el monto según acuerdo Directriz SE-234-2020 se rebajan 90 millones </t>
        </r>
      </text>
    </comment>
    <comment ref="E1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Jennifer Flores Avila:</t>
        </r>
        <r>
          <rPr>
            <sz val="9"/>
            <color indexed="81"/>
            <rFont val="Tahoma"/>
            <family val="2"/>
          </rPr>
          <t xml:space="preserve">
Se modifica el monto según directriz SE-234-2020 se suman 90 millones </t>
        </r>
      </text>
    </comment>
  </commentList>
</comments>
</file>

<file path=xl/sharedStrings.xml><?xml version="1.0" encoding="utf-8"?>
<sst xmlns="http://schemas.openxmlformats.org/spreadsheetml/2006/main" count="319" uniqueCount="135">
  <si>
    <t>MONTO</t>
  </si>
  <si>
    <t>ENERO</t>
  </si>
  <si>
    <t>NUMERO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</si>
  <si>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</si>
  <si>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</si>
  <si>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</si>
  <si>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</si>
  <si>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</si>
  <si>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</si>
  <si>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</si>
  <si>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</si>
  <si>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</si>
  <si>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</si>
  <si>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</si>
  <si>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2005</t>
  </si>
  <si>
    <t>2006</t>
  </si>
  <si>
    <t>2007</t>
  </si>
  <si>
    <t>2008</t>
  </si>
  <si>
    <t>2009</t>
  </si>
  <si>
    <t>Monto</t>
  </si>
  <si>
    <t>INFORMACION ANUAL ACUMULADA</t>
  </si>
  <si>
    <t>INFORMACION MENSUAL</t>
  </si>
  <si>
    <t>TOTAL ANUAL</t>
  </si>
  <si>
    <t>EN MILLONES DE COLONES</t>
  </si>
  <si>
    <t>2010</t>
  </si>
  <si>
    <t>2011</t>
  </si>
  <si>
    <t>Total</t>
  </si>
  <si>
    <t>2012</t>
  </si>
  <si>
    <t>Sesión</t>
  </si>
  <si>
    <t>Fecha</t>
  </si>
  <si>
    <t>Preg. C.R.</t>
  </si>
  <si>
    <t>Preg. Ext.</t>
  </si>
  <si>
    <t>Posg. C.R.</t>
  </si>
  <si>
    <t>Posg. Ext.</t>
  </si>
  <si>
    <t>No.</t>
  </si>
  <si>
    <t>Acum.</t>
  </si>
  <si>
    <t>2013</t>
  </si>
  <si>
    <t>2014</t>
  </si>
  <si>
    <t>2015</t>
  </si>
  <si>
    <t>COLOCACIONES APROBADAS SEGÚN NIVEL DE ESTUDIO</t>
  </si>
  <si>
    <t>Elaborado el:</t>
  </si>
  <si>
    <t>Nivel de estudio</t>
  </si>
  <si>
    <t>Prestatarios</t>
  </si>
  <si>
    <t>Ejecutado</t>
  </si>
  <si>
    <t>Programación anual</t>
  </si>
  <si>
    <t>Absoluto</t>
  </si>
  <si>
    <t>Porcentaje</t>
  </si>
  <si>
    <t>Preg. Costa Rica</t>
  </si>
  <si>
    <t>Preg. Exterior</t>
  </si>
  <si>
    <t>Posg. Costa Rica</t>
  </si>
  <si>
    <t>Posg. Exterior</t>
  </si>
  <si>
    <t>TOTAL</t>
  </si>
  <si>
    <t>Resumen de Colocación Refundiciones y Ampliaciones de Crédito</t>
  </si>
  <si>
    <t>Refundiciones</t>
  </si>
  <si>
    <t>Ampliaciones</t>
  </si>
  <si>
    <t>Cantidad</t>
  </si>
  <si>
    <t>Mayor Desarrollo Relativo</t>
  </si>
  <si>
    <t>Menor Desarrollo Relativo</t>
  </si>
  <si>
    <t>% Mayor Desarrollo Relativo</t>
  </si>
  <si>
    <t>%  Menor Desarrollo Relativo</t>
  </si>
  <si>
    <t>Meta</t>
  </si>
  <si>
    <t>Zonas de Menor Desarrollo  Relativo</t>
  </si>
  <si>
    <t>Total de Prestatarios</t>
  </si>
  <si>
    <t>Hombres</t>
  </si>
  <si>
    <t>Mujeres</t>
  </si>
  <si>
    <t>Área de Estudio</t>
  </si>
  <si>
    <t>Liberales</t>
  </si>
  <si>
    <t>Científica-Tecnológica</t>
  </si>
  <si>
    <t>2016</t>
  </si>
  <si>
    <t>CIENCIA Y TECNOLOGIA</t>
  </si>
  <si>
    <t>CS.SOCIALES, EDUCACION Y OTRAS</t>
  </si>
  <si>
    <t>2017</t>
  </si>
  <si>
    <t>2018</t>
  </si>
  <si>
    <t>2019</t>
  </si>
  <si>
    <t>PRESTATARIOS</t>
  </si>
  <si>
    <t>DISPONIBLE</t>
  </si>
  <si>
    <t>Realizado</t>
  </si>
  <si>
    <t>%</t>
  </si>
  <si>
    <t>No. Prestatarios</t>
  </si>
  <si>
    <r>
      <rPr>
        <b/>
        <sz val="7"/>
        <color rgb="FFFF0000"/>
        <rFont val="Arial Narrow"/>
        <family val="2"/>
      </rPr>
      <t>3/</t>
    </r>
    <r>
      <rPr>
        <b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CONAPE establece como carreras pertenecientes a las Áreas Científico-Tecnológicas, las correspondientes a disciplinas y énfasis ubicadas en las siguientes áreas de estudios :  Ciencias Básicas, Recursos Naturales, Ingeniería, Ciencias de la Salud y Formación Técnica.
El total de incluye créditos nuevos y ampliaciones.
</t>
    </r>
  </si>
  <si>
    <t>Zonas de Mayor Desarrollo  Relativo</t>
  </si>
  <si>
    <t>COLOCACIONES ¢</t>
  </si>
  <si>
    <t>Colocaciones ¢</t>
  </si>
  <si>
    <r>
      <t xml:space="preserve">Distribución de colocación Pregrados en Costa Rica por Área de Estudio (Área Cientifica-Tecnológica y Liberales) </t>
    </r>
    <r>
      <rPr>
        <vertAlign val="superscript"/>
        <sz val="10"/>
        <color rgb="FFFF0000"/>
        <rFont val="Arial"/>
        <family val="2"/>
      </rPr>
      <t>3</t>
    </r>
  </si>
  <si>
    <r>
      <t xml:space="preserve">Distribución de colocación por Zona de Mayor y Menor Desarrollo Relativo </t>
    </r>
    <r>
      <rPr>
        <vertAlign val="superscript"/>
        <sz val="10"/>
        <color rgb="FFFF0000"/>
        <rFont val="Arial"/>
        <family val="2"/>
      </rPr>
      <t>2</t>
    </r>
  </si>
  <si>
    <t xml:space="preserve">                      COMISION NACIONAL DE PRESTAMOS PARA EDUCACION</t>
  </si>
  <si>
    <t xml:space="preserve">                      DEPARTAMENTO DE CREDITO</t>
  </si>
  <si>
    <t xml:space="preserve">                      SECCIÓN DE GESTION Y ANALISIS </t>
  </si>
  <si>
    <t>Distribución de colocación por género en Zonas de Desarrollo Relativo</t>
  </si>
  <si>
    <t>DescolocadaDescendente</t>
  </si>
  <si>
    <t>Mepro Area</t>
  </si>
  <si>
    <t>Recuento Tipo Solicitud</t>
  </si>
  <si>
    <t>S</t>
  </si>
  <si>
    <t>AMPLIACION - CIENCIA Y TECNOLOGIA</t>
  </si>
  <si>
    <t>AMPLIACION - CS.SOCIALES, EDUCACION Y OTRAS</t>
  </si>
  <si>
    <t>N</t>
  </si>
  <si>
    <t xml:space="preserve">SOLICITUDES COLOCADAS </t>
  </si>
  <si>
    <t>2020</t>
  </si>
  <si>
    <t xml:space="preserve">Totales </t>
  </si>
  <si>
    <t>Amp Pre CR</t>
  </si>
  <si>
    <t>Amp Pre Ext</t>
  </si>
  <si>
    <t>Amp Pos CR</t>
  </si>
  <si>
    <t>Amp Pos Ext</t>
  </si>
  <si>
    <t>Fondo Aval</t>
  </si>
  <si>
    <t xml:space="preserve">Nuevos </t>
  </si>
  <si>
    <t xml:space="preserve">Fondo Avales </t>
  </si>
  <si>
    <t>Nuevos</t>
  </si>
  <si>
    <t>Pregrados en Costa Rica</t>
  </si>
  <si>
    <t>Posgrados en  Costa Rica</t>
  </si>
  <si>
    <t>Posgrados en el exterior</t>
  </si>
  <si>
    <t>Pregrados en el exterior</t>
  </si>
  <si>
    <t>Sub total</t>
  </si>
  <si>
    <t>Ampl.Preg. C.R.</t>
  </si>
  <si>
    <t>Ampl.Preg. Ext.</t>
  </si>
  <si>
    <t>Ampl.Posg. C.R.</t>
  </si>
  <si>
    <t>Ampl. Posg. Ext.</t>
  </si>
  <si>
    <r>
      <rPr>
        <b/>
        <vertAlign val="superscript"/>
        <sz val="10"/>
        <color rgb="FFFF0000"/>
        <rFont val="Arial Narrow"/>
        <family val="2"/>
      </rPr>
      <t>1/</t>
    </r>
    <r>
      <rPr>
        <sz val="10"/>
        <color theme="1"/>
        <rFont val="Arial Narrow"/>
        <family val="2"/>
      </rPr>
      <t xml:space="preserve"> Esta información responde al Plan Anual de gestión de Crédito 2020.</t>
    </r>
  </si>
  <si>
    <r>
      <rPr>
        <b/>
        <vertAlign val="superscript"/>
        <sz val="10"/>
        <color rgb="FFFF0000"/>
        <rFont val="Arial Narrow"/>
        <family val="2"/>
      </rPr>
      <t>2/</t>
    </r>
    <r>
      <rPr>
        <b/>
        <sz val="10"/>
        <color rgb="FFFF0000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Esta información responde a la Matriz de Propuesta Sectorial del PND del Plan Anual de Gestión de Crédito  2020, Pág. 8 </t>
    </r>
    <r>
      <rPr>
        <b/>
        <sz val="10"/>
        <color theme="1"/>
        <rFont val="Arial Narrow"/>
        <family val="2"/>
      </rPr>
      <t xml:space="preserve">.  </t>
    </r>
  </si>
  <si>
    <t xml:space="preserve">Nota </t>
  </si>
  <si>
    <t xml:space="preserve">Rubro </t>
  </si>
  <si>
    <t xml:space="preserve">Diferencia </t>
  </si>
  <si>
    <t xml:space="preserve">Numero
anterior </t>
  </si>
  <si>
    <t xml:space="preserve">Numero 
actual </t>
  </si>
  <si>
    <t xml:space="preserve">Monto 
anterior </t>
  </si>
  <si>
    <t xml:space="preserve">Monto 
actual </t>
  </si>
  <si>
    <t xml:space="preserve">Sesión </t>
  </si>
  <si>
    <t>S. 01-20</t>
  </si>
  <si>
    <t>S. 02-20</t>
  </si>
  <si>
    <t>S. 04-20</t>
  </si>
  <si>
    <t>S. 06-20</t>
  </si>
  <si>
    <t>FAC</t>
  </si>
  <si>
    <t>Se modifica el día 25 de mayo del 2020 en la sesión 22-2020, cantidades  y montos de las siguientes sesiones en relación al fondo de avales de CONAPE.
Esto debido a que estos casos no tenian el código correspondiente en la pantalla "tipo de caso  solicitud"  en el módulo de análisis. A solicitud de la jefatura se hicieron los ajustes correspondientes. 
El cambio lo realizó la sección de informática a tavés de la incidencia #9936 con fecha 19 de mayo  de la mesa de servicios, y este fue ejecutado por la Ing. Vivian Chavarría el día 20 de mayo 2020,</t>
  </si>
  <si>
    <t>Se modifica el día 01 de junio del 2020 en la sesión 23-2020, cantidades  y montos de las siguientes sesiones en relación al fondo de avales de CONAPE.
Esto debido a que estos casos no tenian el código correspondiente en la pantalla "tipo de caso  solicitud"  en el módulo de análisis. A solicitud de la jefatura se hicieron los ajustes correspondientes. 
El cambio lo realizó la sección de informática a tavés de la incidencia #9957 con fecha 26 de mayo de la mesa de servicios, y este fue ejecutado por la Ing. Vivian Chavarría el día 26 de mayo 2020,</t>
  </si>
  <si>
    <t>S. 17-20</t>
  </si>
  <si>
    <t>Sesión C.C. No. 51 al 17-12-2020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</si>
</sst>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₡&quot;* #,##0.00_-;\-&quot;₡&quot;* #,##0.00_-;_-&quot;₡&quot;* &quot;-&quot;??_-;_-@_-"/>
    <numFmt numFmtId="165" formatCode="_-* #,##0.00\ _€_-;\-* #,##0.00\ _€_-;_-* &quot;-&quot;??\ _€_-;_-@_-"/>
    <numFmt numFmtId="166" formatCode="_(* #,##0_);_(* \(#,##0\);_(* &quot;-&quot;??_);_(@_)"/>
    <numFmt numFmtId="167" formatCode="&quot;₡&quot;#,##0.00"/>
    <numFmt numFmtId="168" formatCode="&quot;₡&quot;#,##0.000"/>
    <numFmt numFmtId="169" formatCode="&quot;₡&quot;#,##0.0000"/>
  </numFmts>
  <fonts count="4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24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vertAlign val="superscript"/>
      <sz val="10"/>
      <color rgb="FFFF0000"/>
      <name val="Arial"/>
      <family val="2"/>
    </font>
    <font>
      <b/>
      <sz val="10"/>
      <color theme="1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9"/>
      <color rgb="FF404040"/>
      <name val="Arial"/>
      <family val="2"/>
    </font>
    <font>
      <b/>
      <vertAlign val="superscript"/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7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 Narrow"/>
      <family val="2"/>
    </font>
    <font>
      <sz val="12"/>
      <color theme="1"/>
      <name val="Arial"/>
      <family val="2"/>
    </font>
    <font>
      <b/>
      <sz val="7"/>
      <color rgb="FF40404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 applyAlignment="0"/>
    <xf numFmtId="0" fontId="10" fillId="0" borderId="0"/>
    <xf numFmtId="0" fontId="3" fillId="0" borderId="0"/>
    <xf numFmtId="0" fontId="2" fillId="0" borderId="0"/>
    <xf numFmtId="0" fontId="1" fillId="0" borderId="0"/>
    <xf numFmtId="164" fontId="6" fillId="0" borderId="0" applyFont="0" applyFill="0" applyBorder="0" applyAlignment="0" applyProtection="0"/>
  </cellStyleXfs>
  <cellXfs count="196">
    <xf numFmtId="0" fontId="0" fillId="0" borderId="0" xfId="0"/>
    <xf numFmtId="0" fontId="16" fillId="3" borderId="0" xfId="0" applyFont="1" applyFill="1" applyAlignment="1">
      <alignment horizontal="center"/>
    </xf>
    <xf numFmtId="3" fontId="19" fillId="0" borderId="11" xfId="0" applyNumberFormat="1" applyFont="1" applyFill="1" applyBorder="1" applyAlignment="1">
      <alignment horizontal="center" wrapText="1"/>
    </xf>
    <xf numFmtId="3" fontId="20" fillId="3" borderId="0" xfId="0" applyNumberFormat="1" applyFont="1" applyFill="1" applyBorder="1" applyAlignment="1">
      <alignment horizontal="center" vertical="center"/>
    </xf>
    <xf numFmtId="9" fontId="15" fillId="3" borderId="0" xfId="5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9" fontId="0" fillId="0" borderId="0" xfId="5" applyFont="1" applyAlignment="1">
      <alignment horizontal="center"/>
    </xf>
    <xf numFmtId="9" fontId="0" fillId="0" borderId="0" xfId="0" applyNumberForma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43" fontId="0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166" fontId="11" fillId="3" borderId="0" xfId="0" applyNumberFormat="1" applyFont="1" applyFill="1" applyAlignment="1">
      <alignment horizontal="center"/>
    </xf>
    <xf numFmtId="3" fontId="11" fillId="3" borderId="0" xfId="0" applyNumberFormat="1" applyFont="1" applyFill="1" applyAlignment="1">
      <alignment horizontal="center"/>
    </xf>
    <xf numFmtId="4" fontId="11" fillId="3" borderId="0" xfId="0" applyNumberFormat="1" applyFont="1" applyFill="1" applyAlignment="1">
      <alignment horizontal="center"/>
    </xf>
    <xf numFmtId="3" fontId="11" fillId="3" borderId="0" xfId="0" applyNumberFormat="1" applyFont="1" applyFill="1" applyBorder="1" applyAlignment="1">
      <alignment horizontal="center"/>
    </xf>
    <xf numFmtId="43" fontId="11" fillId="3" borderId="0" xfId="2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top"/>
    </xf>
    <xf numFmtId="0" fontId="21" fillId="3" borderId="0" xfId="0" applyFont="1" applyFill="1" applyAlignment="1">
      <alignment horizontal="center"/>
    </xf>
    <xf numFmtId="0" fontId="26" fillId="4" borderId="9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/>
    </xf>
    <xf numFmtId="3" fontId="29" fillId="0" borderId="13" xfId="0" applyNumberFormat="1" applyFont="1" applyBorder="1" applyAlignment="1">
      <alignment horizontal="center" vertical="center"/>
    </xf>
    <xf numFmtId="3" fontId="29" fillId="0" borderId="4" xfId="0" applyNumberFormat="1" applyFont="1" applyBorder="1" applyAlignment="1">
      <alignment horizontal="center" vertical="center"/>
    </xf>
    <xf numFmtId="0" fontId="19" fillId="3" borderId="11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 wrapText="1"/>
    </xf>
    <xf numFmtId="3" fontId="21" fillId="0" borderId="11" xfId="0" applyNumberFormat="1" applyFont="1" applyFill="1" applyBorder="1" applyAlignment="1">
      <alignment horizontal="center"/>
    </xf>
    <xf numFmtId="3" fontId="19" fillId="0" borderId="11" xfId="0" applyNumberFormat="1" applyFont="1" applyFill="1" applyBorder="1" applyAlignment="1">
      <alignment horizontal="center"/>
    </xf>
    <xf numFmtId="3" fontId="21" fillId="3" borderId="11" xfId="0" applyNumberFormat="1" applyFont="1" applyFill="1" applyBorder="1" applyAlignment="1">
      <alignment horizontal="center"/>
    </xf>
    <xf numFmtId="9" fontId="21" fillId="3" borderId="11" xfId="5" applyNumberFormat="1" applyFont="1" applyFill="1" applyBorder="1" applyAlignment="1">
      <alignment horizontal="center"/>
    </xf>
    <xf numFmtId="3" fontId="19" fillId="3" borderId="11" xfId="0" applyNumberFormat="1" applyFont="1" applyFill="1" applyBorder="1" applyAlignment="1">
      <alignment horizontal="center"/>
    </xf>
    <xf numFmtId="3" fontId="19" fillId="0" borderId="11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4" fontId="21" fillId="0" borderId="11" xfId="0" applyNumberFormat="1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 wrapText="1"/>
    </xf>
    <xf numFmtId="3" fontId="21" fillId="0" borderId="11" xfId="0" applyNumberFormat="1" applyFont="1" applyFill="1" applyBorder="1" applyAlignment="1" applyProtection="1">
      <alignment horizontal="center" vertical="center"/>
    </xf>
    <xf numFmtId="9" fontId="21" fillId="0" borderId="11" xfId="5" applyFont="1" applyFill="1" applyBorder="1" applyAlignment="1">
      <alignment horizontal="center" vertical="center"/>
    </xf>
    <xf numFmtId="3" fontId="31" fillId="0" borderId="11" xfId="0" applyNumberFormat="1" applyFont="1" applyFill="1" applyBorder="1" applyAlignment="1">
      <alignment horizontal="center" vertical="center"/>
    </xf>
    <xf numFmtId="9" fontId="19" fillId="0" borderId="11" xfId="5" applyFont="1" applyFill="1" applyBorder="1" applyAlignment="1">
      <alignment horizontal="center" vertical="center"/>
    </xf>
    <xf numFmtId="37" fontId="21" fillId="0" borderId="11" xfId="2" applyNumberFormat="1" applyFont="1" applyFill="1" applyBorder="1" applyAlignment="1">
      <alignment horizontal="center"/>
    </xf>
    <xf numFmtId="37" fontId="19" fillId="0" borderId="11" xfId="2" applyNumberFormat="1" applyFont="1" applyFill="1" applyBorder="1" applyAlignment="1">
      <alignment horizontal="center"/>
    </xf>
    <xf numFmtId="3" fontId="21" fillId="3" borderId="11" xfId="2" applyNumberFormat="1" applyFont="1" applyFill="1" applyBorder="1" applyAlignment="1">
      <alignment horizontal="center"/>
    </xf>
    <xf numFmtId="3" fontId="19" fillId="3" borderId="11" xfId="2" applyNumberFormat="1" applyFont="1" applyFill="1" applyBorder="1" applyAlignment="1">
      <alignment horizontal="center"/>
    </xf>
    <xf numFmtId="3" fontId="31" fillId="3" borderId="11" xfId="2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3" fontId="19" fillId="3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22" fillId="6" borderId="11" xfId="0" applyFont="1" applyFill="1" applyBorder="1" applyAlignment="1">
      <alignment horizontal="center" vertical="center" wrapText="1"/>
    </xf>
    <xf numFmtId="4" fontId="22" fillId="6" borderId="11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3" fontId="22" fillId="6" borderId="11" xfId="0" applyNumberFormat="1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4" fontId="22" fillId="7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22" fillId="0" borderId="11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wrapText="1"/>
    </xf>
    <xf numFmtId="0" fontId="33" fillId="0" borderId="0" xfId="0" applyFont="1"/>
    <xf numFmtId="0" fontId="0" fillId="0" borderId="0" xfId="0" applyFill="1" applyAlignment="1">
      <alignment horizontal="center"/>
    </xf>
    <xf numFmtId="43" fontId="0" fillId="0" borderId="0" xfId="2" applyFon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4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34" fillId="9" borderId="0" xfId="0" applyFont="1" applyFill="1" applyAlignment="1">
      <alignment horizontal="center" vertical="center" wrapText="1"/>
    </xf>
    <xf numFmtId="49" fontId="34" fillId="9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4" fillId="9" borderId="4" xfId="0" applyFont="1" applyFill="1" applyBorder="1" applyAlignment="1">
      <alignment horizontal="center" vertical="center" wrapText="1"/>
    </xf>
    <xf numFmtId="3" fontId="34" fillId="9" borderId="4" xfId="0" applyNumberFormat="1" applyFont="1" applyFill="1" applyBorder="1" applyAlignment="1">
      <alignment horizontal="center" vertical="center" wrapText="1"/>
    </xf>
    <xf numFmtId="3" fontId="35" fillId="0" borderId="11" xfId="0" applyNumberFormat="1" applyFont="1" applyFill="1" applyBorder="1" applyAlignment="1">
      <alignment horizontal="center"/>
    </xf>
    <xf numFmtId="49" fontId="36" fillId="5" borderId="11" xfId="0" applyNumberFormat="1" applyFont="1" applyFill="1" applyBorder="1" applyAlignment="1">
      <alignment horizontal="center" vertical="center" wrapText="1"/>
    </xf>
    <xf numFmtId="3" fontId="36" fillId="0" borderId="11" xfId="0" applyNumberFormat="1" applyFont="1" applyFill="1" applyBorder="1" applyAlignment="1">
      <alignment horizontal="center"/>
    </xf>
    <xf numFmtId="0" fontId="36" fillId="5" borderId="11" xfId="0" applyFont="1" applyFill="1" applyBorder="1" applyAlignment="1">
      <alignment horizontal="center" vertical="center" wrapText="1"/>
    </xf>
    <xf numFmtId="14" fontId="36" fillId="5" borderId="11" xfId="0" applyNumberFormat="1" applyFont="1" applyFill="1" applyBorder="1" applyAlignment="1">
      <alignment horizontal="center" vertical="center" wrapText="1"/>
    </xf>
    <xf numFmtId="14" fontId="36" fillId="5" borderId="4" xfId="0" applyNumberFormat="1" applyFont="1" applyFill="1" applyBorder="1" applyAlignment="1">
      <alignment horizontal="center" vertical="center" wrapText="1"/>
    </xf>
    <xf numFmtId="167" fontId="36" fillId="5" borderId="11" xfId="2" applyNumberFormat="1" applyFont="1" applyFill="1" applyBorder="1" applyAlignment="1">
      <alignment horizontal="center" vertical="center" wrapText="1"/>
    </xf>
    <xf numFmtId="167" fontId="35" fillId="0" borderId="11" xfId="2" applyNumberFormat="1" applyFont="1" applyBorder="1" applyAlignment="1">
      <alignment horizontal="center"/>
    </xf>
    <xf numFmtId="167" fontId="35" fillId="0" borderId="11" xfId="2" applyNumberFormat="1" applyFont="1" applyFill="1" applyBorder="1" applyAlignment="1">
      <alignment horizontal="center"/>
    </xf>
    <xf numFmtId="167" fontId="36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3" borderId="11" xfId="0" applyFill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7" fontId="0" fillId="3" borderId="11" xfId="0" applyNumberFormat="1" applyFill="1" applyBorder="1" applyAlignment="1">
      <alignment horizontal="center"/>
    </xf>
    <xf numFmtId="168" fontId="0" fillId="3" borderId="11" xfId="0" applyNumberFormat="1" applyFill="1" applyBorder="1" applyAlignment="1">
      <alignment horizontal="center"/>
    </xf>
    <xf numFmtId="0" fontId="0" fillId="11" borderId="0" xfId="0" applyFill="1" applyAlignment="1">
      <alignment horizontal="center"/>
    </xf>
    <xf numFmtId="3" fontId="29" fillId="0" borderId="11" xfId="0" applyNumberFormat="1" applyFont="1" applyBorder="1" applyAlignment="1">
      <alignment horizontal="center" vertical="center"/>
    </xf>
    <xf numFmtId="9" fontId="29" fillId="0" borderId="11" xfId="5" applyFont="1" applyBorder="1" applyAlignment="1">
      <alignment horizontal="center" vertical="center"/>
    </xf>
    <xf numFmtId="9" fontId="29" fillId="0" borderId="4" xfId="5" applyFont="1" applyBorder="1" applyAlignment="1">
      <alignment horizontal="center" vertical="center"/>
    </xf>
    <xf numFmtId="3" fontId="29" fillId="0" borderId="11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0" fontId="21" fillId="3" borderId="26" xfId="0" applyFont="1" applyFill="1" applyBorder="1" applyAlignment="1">
      <alignment horizontal="center"/>
    </xf>
    <xf numFmtId="3" fontId="29" fillId="0" borderId="27" xfId="0" applyNumberFormat="1" applyFont="1" applyBorder="1" applyAlignment="1">
      <alignment horizontal="center" vertical="center"/>
    </xf>
    <xf numFmtId="0" fontId="21" fillId="3" borderId="28" xfId="0" applyFont="1" applyFill="1" applyBorder="1" applyAlignment="1">
      <alignment horizontal="center"/>
    </xf>
    <xf numFmtId="0" fontId="19" fillId="12" borderId="26" xfId="0" applyFont="1" applyFill="1" applyBorder="1" applyAlignment="1">
      <alignment horizontal="center"/>
    </xf>
    <xf numFmtId="3" fontId="30" fillId="12" borderId="11" xfId="0" applyNumberFormat="1" applyFont="1" applyFill="1" applyBorder="1" applyAlignment="1">
      <alignment horizontal="center" vertical="center"/>
    </xf>
    <xf numFmtId="9" fontId="30" fillId="12" borderId="11" xfId="5" applyFont="1" applyFill="1" applyBorder="1" applyAlignment="1">
      <alignment horizontal="center" vertical="center"/>
    </xf>
    <xf numFmtId="3" fontId="30" fillId="12" borderId="11" xfId="0" applyNumberFormat="1" applyFont="1" applyFill="1" applyBorder="1" applyAlignment="1">
      <alignment horizontal="right" vertical="center"/>
    </xf>
    <xf numFmtId="3" fontId="30" fillId="12" borderId="27" xfId="0" applyNumberFormat="1" applyFont="1" applyFill="1" applyBorder="1" applyAlignment="1">
      <alignment horizontal="center" vertical="center"/>
    </xf>
    <xf numFmtId="3" fontId="29" fillId="0" borderId="11" xfId="0" applyNumberFormat="1" applyFont="1" applyBorder="1" applyAlignment="1">
      <alignment vertical="center"/>
    </xf>
    <xf numFmtId="3" fontId="30" fillId="12" borderId="11" xfId="0" applyNumberFormat="1" applyFont="1" applyFill="1" applyBorder="1" applyAlignment="1">
      <alignment vertical="center"/>
    </xf>
    <xf numFmtId="166" fontId="27" fillId="4" borderId="9" xfId="2" applyNumberFormat="1" applyFont="1" applyFill="1" applyBorder="1" applyAlignment="1">
      <alignment horizontal="center" vertical="center" wrapText="1"/>
    </xf>
    <xf numFmtId="10" fontId="27" fillId="4" borderId="9" xfId="0" applyNumberFormat="1" applyFont="1" applyFill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right" vertical="center"/>
    </xf>
    <xf numFmtId="3" fontId="29" fillId="0" borderId="27" xfId="0" applyNumberFormat="1" applyFont="1" applyBorder="1" applyAlignment="1">
      <alignment horizontal="right" vertical="center"/>
    </xf>
    <xf numFmtId="3" fontId="30" fillId="12" borderId="27" xfId="0" applyNumberFormat="1" applyFont="1" applyFill="1" applyBorder="1" applyAlignment="1">
      <alignment horizontal="right" vertical="center"/>
    </xf>
    <xf numFmtId="0" fontId="37" fillId="3" borderId="0" xfId="0" applyFont="1" applyFill="1" applyAlignment="1">
      <alignment horizontal="left"/>
    </xf>
    <xf numFmtId="0" fontId="26" fillId="4" borderId="8" xfId="0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 wrapText="1"/>
    </xf>
    <xf numFmtId="14" fontId="21" fillId="3" borderId="0" xfId="0" applyNumberFormat="1" applyFont="1" applyFill="1" applyAlignment="1">
      <alignment horizontal="center"/>
    </xf>
    <xf numFmtId="0" fontId="19" fillId="3" borderId="4" xfId="0" applyFont="1" applyFill="1" applyBorder="1" applyAlignment="1">
      <alignment horizontal="center" vertical="center"/>
    </xf>
    <xf numFmtId="3" fontId="21" fillId="0" borderId="11" xfId="2" applyNumberFormat="1" applyFont="1" applyFill="1" applyBorder="1" applyAlignment="1">
      <alignment horizontal="center" vertical="center"/>
    </xf>
    <xf numFmtId="3" fontId="35" fillId="3" borderId="11" xfId="0" applyNumberFormat="1" applyFont="1" applyFill="1" applyBorder="1" applyAlignment="1">
      <alignment horizontal="center"/>
    </xf>
    <xf numFmtId="167" fontId="35" fillId="3" borderId="11" xfId="2" applyNumberFormat="1" applyFont="1" applyFill="1" applyBorder="1" applyAlignment="1">
      <alignment horizontal="center"/>
    </xf>
    <xf numFmtId="3" fontId="35" fillId="12" borderId="11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wrapText="1"/>
    </xf>
    <xf numFmtId="17" fontId="0" fillId="0" borderId="11" xfId="0" applyNumberFormat="1" applyBorder="1" applyAlignment="1">
      <alignment horizontal="center"/>
    </xf>
    <xf numFmtId="43" fontId="41" fillId="0" borderId="11" xfId="2" applyFont="1" applyBorder="1" applyAlignment="1">
      <alignment horizontal="center"/>
    </xf>
    <xf numFmtId="0" fontId="0" fillId="13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0" xfId="14" applyFont="1" applyAlignment="1">
      <alignment horizontal="center"/>
    </xf>
    <xf numFmtId="3" fontId="35" fillId="13" borderId="11" xfId="0" applyNumberFormat="1" applyFont="1" applyFill="1" applyBorder="1" applyAlignment="1">
      <alignment horizontal="center"/>
    </xf>
    <xf numFmtId="3" fontId="29" fillId="3" borderId="11" xfId="0" applyNumberFormat="1" applyFont="1" applyFill="1" applyBorder="1" applyAlignment="1">
      <alignment horizontal="center" vertical="center"/>
    </xf>
    <xf numFmtId="3" fontId="29" fillId="0" borderId="4" xfId="0" applyNumberFormat="1" applyFont="1" applyFill="1" applyBorder="1" applyAlignment="1">
      <alignment horizontal="center" vertical="center"/>
    </xf>
    <xf numFmtId="3" fontId="29" fillId="0" borderId="4" xfId="0" applyNumberFormat="1" applyFont="1" applyFill="1" applyBorder="1" applyAlignment="1">
      <alignment horizontal="right" vertical="center"/>
    </xf>
    <xf numFmtId="16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43" fontId="41" fillId="0" borderId="31" xfId="2" applyFont="1" applyBorder="1" applyAlignment="1">
      <alignment horizontal="center"/>
    </xf>
    <xf numFmtId="43" fontId="41" fillId="0" borderId="33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1" fillId="10" borderId="24" xfId="0" applyFont="1" applyFill="1" applyBorder="1" applyAlignment="1">
      <alignment horizontal="center"/>
    </xf>
    <xf numFmtId="0" fontId="21" fillId="10" borderId="12" xfId="0" applyFont="1" applyFill="1" applyBorder="1" applyAlignment="1">
      <alignment horizontal="center"/>
    </xf>
    <xf numFmtId="0" fontId="21" fillId="10" borderId="25" xfId="0" applyFont="1" applyFill="1" applyBorder="1" applyAlignment="1">
      <alignment horizontal="center"/>
    </xf>
    <xf numFmtId="0" fontId="21" fillId="10" borderId="29" xfId="0" applyFont="1" applyFill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21" fillId="10" borderId="3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left"/>
    </xf>
    <xf numFmtId="0" fontId="8" fillId="5" borderId="17" xfId="0" applyFont="1" applyFill="1" applyBorder="1" applyAlignment="1">
      <alignment horizontal="left"/>
    </xf>
    <xf numFmtId="0" fontId="8" fillId="5" borderId="22" xfId="0" applyFont="1" applyFill="1" applyBorder="1" applyAlignment="1">
      <alignment horizontal="left"/>
    </xf>
    <xf numFmtId="0" fontId="27" fillId="4" borderId="4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7" fillId="5" borderId="21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4" fontId="28" fillId="0" borderId="16" xfId="0" applyNumberFormat="1" applyFont="1" applyBorder="1" applyAlignment="1">
      <alignment horizontal="center" vertical="center"/>
    </xf>
    <xf numFmtId="4" fontId="28" fillId="0" borderId="17" xfId="0" applyNumberFormat="1" applyFont="1" applyBorder="1" applyAlignment="1">
      <alignment horizontal="center" vertical="center"/>
    </xf>
    <xf numFmtId="4" fontId="28" fillId="0" borderId="18" xfId="0" applyNumberFormat="1" applyFont="1" applyBorder="1" applyAlignment="1">
      <alignment horizontal="center" vertical="center"/>
    </xf>
    <xf numFmtId="4" fontId="28" fillId="0" borderId="14" xfId="0" applyNumberFormat="1" applyFont="1" applyBorder="1" applyAlignment="1">
      <alignment horizontal="center" vertical="center"/>
    </xf>
    <xf numFmtId="4" fontId="28" fillId="0" borderId="15" xfId="0" applyNumberFormat="1" applyFont="1" applyBorder="1" applyAlignment="1">
      <alignment horizontal="center" vertical="center"/>
    </xf>
  </cellXfs>
  <cellStyles count="15">
    <cellStyle name="Euro" xfId="1" xr:uid="{00000000-0005-0000-0000-000000000000}"/>
    <cellStyle name="Millares" xfId="2" builtinId="3"/>
    <cellStyle name="Millares 2" xfId="3" xr:uid="{00000000-0005-0000-0000-000002000000}"/>
    <cellStyle name="Millares 3" xfId="7" xr:uid="{00000000-0005-0000-0000-000003000000}"/>
    <cellStyle name="Moneda" xfId="14" builtinId="4"/>
    <cellStyle name="Normal" xfId="0" builtinId="0"/>
    <cellStyle name="Normal 2" xfId="4" xr:uid="{00000000-0005-0000-0000-000006000000}"/>
    <cellStyle name="Normal 3" xfId="8" xr:uid="{00000000-0005-0000-0000-000007000000}"/>
    <cellStyle name="Normal 4" xfId="9" xr:uid="{00000000-0005-0000-0000-000008000000}"/>
    <cellStyle name="Normal 5" xfId="10" xr:uid="{00000000-0005-0000-0000-000009000000}"/>
    <cellStyle name="Normal 6" xfId="11" xr:uid="{00000000-0005-0000-0000-00000A000000}"/>
    <cellStyle name="Normal 6 2" xfId="12" xr:uid="{00000000-0005-0000-0000-00000B000000}"/>
    <cellStyle name="Normal 6 2 2" xfId="13" xr:uid="{00000000-0005-0000-0000-00000C000000}"/>
    <cellStyle name="Porcentaje" xfId="5" builtinId="5"/>
    <cellStyle name="Porcentual 2" xfId="6" xr:uid="{00000000-0005-0000-0000-00000E000000}"/>
  </cellStyles>
  <dxfs count="104">
    <dxf>
      <numFmt numFmtId="170" formatCode="&quot;₡&quot;#,##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&quot;₡&quot;#,##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&quot;₡&quot;#,##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&quot;₡&quot;#,##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&quot;₡&quot;#,##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&quot;₡&quot;#,##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</dxf>
    <dxf>
      <fill>
        <patternFill patternType="solid">
          <fgColor indexed="64"/>
          <bgColor theme="9" tint="-0.249977111117893"/>
        </patternFill>
      </fill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</dxf>
    <dxf>
      <fill>
        <patternFill patternType="solid">
          <fgColor indexed="64"/>
          <bgColor theme="3" tint="0.39997558519241921"/>
        </patternFill>
      </fill>
      <alignment horizontal="center" vertical="bottom" textRotation="0" indent="0" justifyLastLine="0" shrinkToFit="0" readingOrder="0"/>
    </dxf>
    <dxf>
      <numFmt numFmtId="167" formatCode="&quot;₡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&quot;₡&quot;#,##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&quot;₡&quot;#,##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&quot;₡&quot;#,##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&quot;₡&quot;#,##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&quot;₡&quot;#,##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</dxf>
    <dxf>
      <fill>
        <patternFill patternType="solid">
          <fgColor indexed="64"/>
          <bgColor theme="9" tint="-0.249977111117893"/>
        </patternFill>
      </fill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</dxf>
    <dxf>
      <fill>
        <patternFill patternType="solid">
          <fgColor indexed="64"/>
          <bgColor theme="3" tint="0.39997558519241921"/>
        </patternFill>
      </fill>
      <alignment horizontal="center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₡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3" tint="0.399945066682943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71" formatCode="d/m/yyyy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0.39994506668294322"/>
        </patternFill>
      </fill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CC0066"/>
      <color rgb="FF990000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 sz="1100" b="1" i="0" u="none" strike="noStrike" baseline="0"/>
              <a:t>COMPARATIVO DE NÚMERO DE </a:t>
            </a:r>
            <a:br>
              <a:rPr lang="es-ES" sz="1100" b="1" i="0" u="none" strike="noStrike" baseline="0"/>
            </a:br>
            <a:r>
              <a:rPr lang="es-ES" sz="1100" b="1" i="0" u="none" strike="noStrike" baseline="0"/>
              <a:t>NUEVOS ESTUDIANTES BENEFICIADOS</a:t>
            </a:r>
            <a:br>
              <a:rPr lang="es-ES" sz="1100" b="1" i="0" u="none" strike="noStrike" baseline="0"/>
            </a:br>
            <a:r>
              <a:rPr lang="es-ES" sz="1100" b="1" i="0" u="none" strike="noStrike" baseline="0"/>
              <a:t>(del 01 de enero al 30 de junio)</a:t>
            </a:r>
            <a:endParaRPr lang="en-US" sz="1100"/>
          </a:p>
        </c:rich>
      </c:tx>
      <c:layout>
        <c:manualLayout>
          <c:xMode val="edge"/>
          <c:yMode val="edge"/>
          <c:x val="0.24999300087491386"/>
          <c:y val="2.7777777777782169E-2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'SERIE AÑO'!$A$57</c:f>
              <c:strCache>
                <c:ptCount val="1"/>
                <c:pt idx="0">
                  <c:v>JUNIO</c:v>
                </c:pt>
              </c:strCache>
            </c:strRef>
          </c:tx>
          <c:spPr>
            <a:effectLst>
              <a:outerShdw blurRad="152400" dist="317500" dir="5400000" sx="90000" sy="-19000" rotWithShape="0">
                <a:prstClr val="black">
                  <a:alpha val="15000"/>
                </a:prstClr>
              </a:outerShdw>
            </a:effectLst>
          </c:spPr>
          <c:marker>
            <c:spPr>
              <a:effectLst>
                <a:outerShdw blurRad="152400" dist="317500" dir="5400000" sx="90000" sy="-19000" rotWithShape="0">
                  <a:prstClr val="black">
                    <a:alpha val="15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'SERIE AÑO'!$B$56:$F$56</c:f>
            </c:multiLvlStrRef>
          </c:cat>
          <c:val>
            <c:numRef>
              <c:f>'SERIE AÑO'!$B$57:$F$57</c:f>
            </c:numRef>
          </c:val>
          <c:smooth val="0"/>
          <c:extLst>
            <c:ext xmlns:c16="http://schemas.microsoft.com/office/drawing/2014/chart" uri="{C3380CC4-5D6E-409C-BE32-E72D297353CC}">
              <c16:uniqueId val="{00000000-8CB5-407A-8896-98EB69E5A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058176"/>
        <c:axId val="431056608"/>
      </c:lineChart>
      <c:catAx>
        <c:axId val="43105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431056608"/>
        <c:crosses val="autoZero"/>
        <c:auto val="1"/>
        <c:lblAlgn val="ctr"/>
        <c:lblOffset val="100"/>
        <c:noMultiLvlLbl val="0"/>
      </c:catAx>
      <c:valAx>
        <c:axId val="43105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431058176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'SERIE AÑO'!$A$84</c:f>
              <c:strCache>
                <c:ptCount val="1"/>
                <c:pt idx="0">
                  <c:v>JUNIO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C85-4EF7-8868-84DE22F854E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C85-4EF7-8868-84DE22F854E7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C85-4EF7-8868-84DE22F854E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EC85-4EF7-8868-84DE22F854E7}"/>
              </c:ext>
            </c:extLst>
          </c:dPt>
          <c:dLbls>
            <c:dLbl>
              <c:idx val="0"/>
              <c:layout>
                <c:manualLayout>
                  <c:x val="1.6666666666666701E-2"/>
                  <c:y val="-0.16666666666666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85-4EF7-8868-84DE22F854E7}"/>
                </c:ext>
              </c:extLst>
            </c:dLbl>
            <c:dLbl>
              <c:idx val="1"/>
              <c:layout>
                <c:manualLayout>
                  <c:x val="1.6666666666666701E-2"/>
                  <c:y val="-0.180555555555555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85-4EF7-8868-84DE22F854E7}"/>
                </c:ext>
              </c:extLst>
            </c:dLbl>
            <c:dLbl>
              <c:idx val="2"/>
              <c:layout>
                <c:manualLayout>
                  <c:x val="2.2222222222222251E-2"/>
                  <c:y val="-0.208333333333344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85-4EF7-8868-84DE22F854E7}"/>
                </c:ext>
              </c:extLst>
            </c:dLbl>
            <c:dLbl>
              <c:idx val="3"/>
              <c:layout>
                <c:manualLayout>
                  <c:x val="1.9444444444444445E-2"/>
                  <c:y val="-0.273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85-4EF7-8868-84DE22F854E7}"/>
                </c:ext>
              </c:extLst>
            </c:dLbl>
            <c:dLbl>
              <c:idx val="4"/>
              <c:layout>
                <c:manualLayout>
                  <c:x val="1.6666666666666781E-2"/>
                  <c:y val="-0.37500000000000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85-4EF7-8868-84DE22F854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'SERIE AÑO'!$B$83:$F$83</c:f>
            </c:multiLvlStrRef>
          </c:cat>
          <c:val>
            <c:numRef>
              <c:f>'SERIE AÑO'!$B$84:$F$84</c:f>
            </c:numRef>
          </c:val>
          <c:extLst>
            <c:ext xmlns:c16="http://schemas.microsoft.com/office/drawing/2014/chart" uri="{C3380CC4-5D6E-409C-BE32-E72D297353CC}">
              <c16:uniqueId val="{00000009-EC85-4EF7-8868-84DE22F85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58568"/>
        <c:axId val="431058960"/>
        <c:axId val="0"/>
      </c:bar3DChart>
      <c:catAx>
        <c:axId val="431058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431058960"/>
        <c:crosses val="autoZero"/>
        <c:auto val="1"/>
        <c:lblAlgn val="ctr"/>
        <c:lblOffset val="100"/>
        <c:noMultiLvlLbl val="0"/>
      </c:catAx>
      <c:valAx>
        <c:axId val="43105896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431058568"/>
        <c:crosses val="autoZero"/>
        <c:crossBetween val="between"/>
      </c:valAx>
    </c:plotArea>
    <c:plotVisOnly val="1"/>
    <c:dispBlanksAs val="gap"/>
    <c:showDLblsOverMax val="0"/>
  </c:chart>
  <c:spPr>
    <a:noFill/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Monto Mensual </a:t>
            </a:r>
          </a:p>
          <a:p>
            <a:pPr>
              <a:defRPr/>
            </a:pPr>
            <a:r>
              <a:rPr lang="es-ES"/>
              <a:t>DICIEMBRE 2016-2020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680108422910263E-2"/>
          <c:y val="0.29092218732491554"/>
          <c:w val="0.93828498069804234"/>
          <c:h val="0.55497259546275002"/>
        </c:manualLayout>
      </c:layout>
      <c:bar3DChart>
        <c:barDir val="col"/>
        <c:grouping val="clustered"/>
        <c:varyColors val="0"/>
        <c:ser>
          <c:idx val="12"/>
          <c:order val="0"/>
          <c:tx>
            <c:strRef>
              <c:f>'SERIE AÑO'!$T$20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AÑO'!$T$21:$T$32</c15:sqref>
                  </c15:fullRef>
                </c:ext>
              </c:extLst>
              <c:f>'SERIE AÑO'!$T$32</c:f>
            </c:numRef>
          </c:val>
          <c:extLst>
            <c:ext xmlns:c16="http://schemas.microsoft.com/office/drawing/2014/chart" uri="{C3380CC4-5D6E-409C-BE32-E72D297353CC}">
              <c16:uniqueId val="{00000000-4B0D-40F9-BE4E-25D1AF0F4930}"/>
            </c:ext>
          </c:extLst>
        </c:ser>
        <c:ser>
          <c:idx val="13"/>
          <c:order val="1"/>
          <c:tx>
            <c:strRef>
              <c:f>'SERIE AÑO'!$U$20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AÑO'!$U$21:$U$32</c15:sqref>
                  </c15:fullRef>
                </c:ext>
              </c:extLst>
              <c:f>'SERIE AÑO'!$U$32</c:f>
            </c:numRef>
          </c:val>
          <c:extLst>
            <c:ext xmlns:c16="http://schemas.microsoft.com/office/drawing/2014/chart" uri="{C3380CC4-5D6E-409C-BE32-E72D297353CC}">
              <c16:uniqueId val="{00000001-4B0D-40F9-BE4E-25D1AF0F4930}"/>
            </c:ext>
          </c:extLst>
        </c:ser>
        <c:ser>
          <c:idx val="14"/>
          <c:order val="2"/>
          <c:tx>
            <c:strRef>
              <c:f>'SERIE AÑO'!$V$20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AÑO'!$V$21:$V$32</c15:sqref>
                  </c15:fullRef>
                </c:ext>
              </c:extLst>
              <c:f>'SERIE AÑO'!$V$32</c:f>
            </c:numRef>
          </c:val>
          <c:extLst>
            <c:ext xmlns:c16="http://schemas.microsoft.com/office/drawing/2014/chart" uri="{C3380CC4-5D6E-409C-BE32-E72D297353CC}">
              <c16:uniqueId val="{00000002-4B0D-40F9-BE4E-25D1AF0F4930}"/>
            </c:ext>
          </c:extLst>
        </c:ser>
        <c:ser>
          <c:idx val="15"/>
          <c:order val="3"/>
          <c:tx>
            <c:strRef>
              <c:f>'SERIE AÑO'!$W$20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AÑO'!$W$21:$W$32</c15:sqref>
                  </c15:fullRef>
                </c:ext>
              </c:extLst>
              <c:f>'SERIE AÑO'!$W$32</c:f>
            </c:numRef>
          </c:val>
          <c:extLst>
            <c:ext xmlns:c16="http://schemas.microsoft.com/office/drawing/2014/chart" uri="{C3380CC4-5D6E-409C-BE32-E72D297353CC}">
              <c16:uniqueId val="{00000003-4B0D-40F9-BE4E-25D1AF0F4930}"/>
            </c:ext>
          </c:extLst>
        </c:ser>
        <c:ser>
          <c:idx val="16"/>
          <c:order val="4"/>
          <c:tx>
            <c:strRef>
              <c:f>'SERIE AÑO'!$X$20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5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AÑO'!$X$21:$X$32</c15:sqref>
                  </c15:fullRef>
                </c:ext>
              </c:extLst>
              <c:f>'SERIE AÑO'!$X$32</c:f>
            </c:numRef>
          </c:val>
          <c:extLst>
            <c:ext xmlns:c16="http://schemas.microsoft.com/office/drawing/2014/chart" uri="{C3380CC4-5D6E-409C-BE32-E72D297353CC}">
              <c16:uniqueId val="{00000004-4B0D-40F9-BE4E-25D1AF0F4930}"/>
            </c:ext>
          </c:extLst>
        </c:ser>
        <c:ser>
          <c:idx val="17"/>
          <c:order val="5"/>
          <c:tx>
            <c:strRef>
              <c:f>'SERIE AÑO'!$Y$20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6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AÑO'!$Y$21:$Y$32</c15:sqref>
                  </c15:fullRef>
                </c:ext>
              </c:extLst>
              <c:f>'SERIE AÑO'!$Y$32</c:f>
            </c:numRef>
          </c:val>
          <c:extLst>
            <c:ext xmlns:c16="http://schemas.microsoft.com/office/drawing/2014/chart" uri="{C3380CC4-5D6E-409C-BE32-E72D297353CC}">
              <c16:uniqueId val="{00000005-4B0D-40F9-BE4E-25D1AF0F4930}"/>
            </c:ext>
          </c:extLst>
        </c:ser>
        <c:ser>
          <c:idx val="18"/>
          <c:order val="6"/>
          <c:tx>
            <c:strRef>
              <c:f>'SERIE AÑO'!$Z$20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>
                <a:lumMod val="8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AÑO'!$Z$21:$Z$32</c15:sqref>
                  </c15:fullRef>
                </c:ext>
              </c:extLst>
              <c:f>'SERIE AÑO'!$Z$32</c:f>
            </c:numRef>
          </c:val>
          <c:extLst>
            <c:ext xmlns:c16="http://schemas.microsoft.com/office/drawing/2014/chart" uri="{C3380CC4-5D6E-409C-BE32-E72D297353CC}">
              <c16:uniqueId val="{00000006-4B0D-40F9-BE4E-25D1AF0F4930}"/>
            </c:ext>
          </c:extLst>
        </c:ser>
        <c:ser>
          <c:idx val="19"/>
          <c:order val="7"/>
          <c:tx>
            <c:strRef>
              <c:f>'SERIE AÑO'!$AA$20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lumMod val="8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AÑO'!$AA$21:$AA$32</c15:sqref>
                  </c15:fullRef>
                </c:ext>
              </c:extLst>
              <c:f>'SERIE AÑO'!$AA$32</c:f>
            </c:numRef>
          </c:val>
          <c:extLst>
            <c:ext xmlns:c16="http://schemas.microsoft.com/office/drawing/2014/chart" uri="{C3380CC4-5D6E-409C-BE32-E72D297353CC}">
              <c16:uniqueId val="{00000007-4B0D-40F9-BE4E-25D1AF0F4930}"/>
            </c:ext>
          </c:extLst>
        </c:ser>
        <c:ser>
          <c:idx val="0"/>
          <c:order val="8"/>
          <c:tx>
            <c:strRef>
              <c:f>'SERIE AÑO'!$AB$20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AÑO'!$AB$21:$AB$32</c15:sqref>
                  </c15:fullRef>
                </c:ext>
              </c:extLst>
              <c:f>'SERIE AÑO'!$AB$32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4B0D-40F9-BE4E-25D1AF0F4930}"/>
            </c:ext>
          </c:extLst>
        </c:ser>
        <c:ser>
          <c:idx val="1"/>
          <c:order val="9"/>
          <c:tx>
            <c:strRef>
              <c:f>'SERIE AÑO'!$AC$20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AÑO'!$AC$21:$AC$32</c15:sqref>
                  </c15:fullRef>
                </c:ext>
              </c:extLst>
              <c:f>'SERIE AÑO'!$AC$32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4B0D-40F9-BE4E-25D1AF0F4930}"/>
            </c:ext>
          </c:extLst>
        </c:ser>
        <c:ser>
          <c:idx val="2"/>
          <c:order val="10"/>
          <c:tx>
            <c:strRef>
              <c:f>'SERIE AÑO'!$AD$20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AÑO'!$AD$21:$AD$32</c15:sqref>
                  </c15:fullRef>
                </c:ext>
              </c:extLst>
              <c:f>'SERIE AÑO'!$AD$32</c:f>
            </c:numRef>
          </c:val>
          <c:extLst>
            <c:ext xmlns:c16="http://schemas.microsoft.com/office/drawing/2014/chart" uri="{C3380CC4-5D6E-409C-BE32-E72D297353CC}">
              <c16:uniqueId val="{0000000A-4B0D-40F9-BE4E-25D1AF0F4930}"/>
            </c:ext>
          </c:extLst>
        </c:ser>
        <c:ser>
          <c:idx val="3"/>
          <c:order val="11"/>
          <c:tx>
            <c:strRef>
              <c:f>'SERIE AÑO'!$AE$20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numFmt formatCode="&quot;₡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AÑO'!$AE$21:$AE$32</c15:sqref>
                  </c15:fullRef>
                </c:ext>
              </c:extLst>
              <c:f>'SERIE AÑO'!$AE$32</c:f>
              <c:numCache>
                <c:formatCode>"₡"#,##0.00</c:formatCode>
                <c:ptCount val="1"/>
                <c:pt idx="0">
                  <c:v>665.68576299999768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'SERIE AÑO'!$AE$25</c15:sqref>
                  <c15:dLbl>
                    <c:idx val="-1"/>
                    <c:numFmt formatCode="&quot;₡&quot;#,##0" sourceLinked="0"/>
                    <c:spPr>
                      <a:solidFill>
                        <a:schemeClr val="dk1">
                          <a:lumMod val="65000"/>
                          <a:lumOff val="35000"/>
                          <a:alpha val="75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</c15:spPr>
                      </c:ext>
                      <c:ext xmlns:c16="http://schemas.microsoft.com/office/drawing/2014/chart" uri="{C3380CC4-5D6E-409C-BE32-E72D297353CC}">
                        <c16:uniqueId val="{00000001-86E9-460A-82D7-3C7E708EDAA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B-4B0D-40F9-BE4E-25D1AF0F4930}"/>
            </c:ext>
          </c:extLst>
        </c:ser>
        <c:ser>
          <c:idx val="4"/>
          <c:order val="12"/>
          <c:tx>
            <c:strRef>
              <c:f>'SERIE AÑO'!$AF$20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AÑO'!$AF$21:$AF$32</c15:sqref>
                  </c15:fullRef>
                </c:ext>
              </c:extLst>
              <c:f>'SERIE AÑO'!$AF$32</c:f>
              <c:numCache>
                <c:formatCode>"₡"#,##0.00</c:formatCode>
                <c:ptCount val="1"/>
                <c:pt idx="0">
                  <c:v>902.4070040000006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0D-40F9-BE4E-25D1AF0F4930}"/>
            </c:ext>
          </c:extLst>
        </c:ser>
        <c:ser>
          <c:idx val="5"/>
          <c:order val="13"/>
          <c:tx>
            <c:strRef>
              <c:f>'SERIE AÑO'!$AG$20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AÑO'!$AG$21:$AG$32</c15:sqref>
                  </c15:fullRef>
                </c:ext>
              </c:extLst>
              <c:f>'SERIE AÑO'!$AG$32</c:f>
              <c:numCache>
                <c:formatCode>"₡"#,##0.00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7-4E69-BAE9-7771F5552A54}"/>
            </c:ext>
          </c:extLst>
        </c:ser>
        <c:ser>
          <c:idx val="6"/>
          <c:order val="14"/>
          <c:tx>
            <c:strRef>
              <c:f>'SERIE AÑO'!$AH$20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AÑO'!$AH$21:$AH$32</c15:sqref>
                  </c15:fullRef>
                </c:ext>
              </c:extLst>
              <c:f>'SERIE AÑO'!$AH$32</c:f>
              <c:numCache>
                <c:formatCode>"₡"#,##0.000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7-4E69-BAE9-7771F5552A54}"/>
            </c:ext>
          </c:extLst>
        </c:ser>
        <c:ser>
          <c:idx val="7"/>
          <c:order val="15"/>
          <c:tx>
            <c:strRef>
              <c:f>'SERIE AÑO'!$AI$20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AÑO'!$S$21:$S$32</c15:sqref>
                  </c15:fullRef>
                </c:ext>
              </c:extLst>
              <c:f>'SERIE AÑO'!$S$32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AÑO'!$AI$21:$AI$32</c15:sqref>
                  </c15:fullRef>
                </c:ext>
              </c:extLst>
              <c:f>'SERIE AÑO'!$AI$32</c:f>
              <c:numCache>
                <c:formatCode>"₡"#,##0.000</c:formatCode>
                <c:ptCount val="1"/>
                <c:pt idx="0" formatCode="&quot;₡&quot;#,##0.0000">
                  <c:v>573.07378599999811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5-4C2E-B802-D0410E4475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31055824"/>
        <c:axId val="431057392"/>
        <c:axId val="0"/>
        <c:extLst/>
      </c:bar3DChart>
      <c:catAx>
        <c:axId val="431055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57392"/>
        <c:crosses val="autoZero"/>
        <c:auto val="1"/>
        <c:lblAlgn val="ctr"/>
        <c:lblOffset val="100"/>
        <c:noMultiLvlLbl val="0"/>
      </c:catAx>
      <c:valAx>
        <c:axId val="43105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₡&quot;#,##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5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de Prestatarios</a:t>
            </a:r>
          </a:p>
          <a:p>
            <a:pPr>
              <a:defRPr/>
            </a:pPr>
            <a:r>
              <a:rPr lang="es-ES"/>
              <a:t>Acumulado a DICIEMBRE 2016-2020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809645431297947E-2"/>
          <c:y val="0.37305296324081022"/>
          <c:w val="0.9446308797982772"/>
          <c:h val="0.4635333833458364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'SERIE AÑO'!$B$4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AÑO'!$B$5:$B$16</c15:sqref>
                  </c15:fullRef>
                </c:ext>
              </c:extLst>
              <c:f>'SERIE AÑO'!$B$16</c:f>
            </c:numRef>
          </c:val>
          <c:extLst>
            <c:ext xmlns:c16="http://schemas.microsoft.com/office/drawing/2014/chart" uri="{C3380CC4-5D6E-409C-BE32-E72D297353CC}">
              <c16:uniqueId val="{00000000-47BC-4D57-952F-904890B34DBE}"/>
            </c:ext>
          </c:extLst>
        </c:ser>
        <c:ser>
          <c:idx val="0"/>
          <c:order val="1"/>
          <c:tx>
            <c:strRef>
              <c:f>'SERIE AÑO'!$C$4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AÑO'!$C$5:$C$16</c15:sqref>
                  </c15:fullRef>
                </c:ext>
              </c:extLst>
              <c:f>'SERIE AÑO'!$C$16</c:f>
            </c:numRef>
          </c:val>
          <c:extLst>
            <c:ext xmlns:c16="http://schemas.microsoft.com/office/drawing/2014/chart" uri="{C3380CC4-5D6E-409C-BE32-E72D297353CC}">
              <c16:uniqueId val="{00000001-47BC-4D57-952F-904890B34DBE}"/>
            </c:ext>
          </c:extLst>
        </c:ser>
        <c:ser>
          <c:idx val="1"/>
          <c:order val="2"/>
          <c:tx>
            <c:strRef>
              <c:f>'SERIE AÑO'!$D$4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AÑO'!$D$5:$D$16</c15:sqref>
                  </c15:fullRef>
                </c:ext>
              </c:extLst>
              <c:f>'SERIE AÑO'!$D$16</c:f>
            </c:numRef>
          </c:val>
          <c:extLst>
            <c:ext xmlns:c16="http://schemas.microsoft.com/office/drawing/2014/chart" uri="{C3380CC4-5D6E-409C-BE32-E72D297353CC}">
              <c16:uniqueId val="{00000002-47BC-4D57-952F-904890B34DBE}"/>
            </c:ext>
          </c:extLst>
        </c:ser>
        <c:ser>
          <c:idx val="3"/>
          <c:order val="3"/>
          <c:tx>
            <c:strRef>
              <c:f>'SERIE AÑO'!$E$4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AÑO'!$E$5:$E$16</c15:sqref>
                  </c15:fullRef>
                </c:ext>
              </c:extLst>
              <c:f>'SERIE AÑO'!$E$16</c:f>
            </c:numRef>
          </c:val>
          <c:extLst>
            <c:ext xmlns:c16="http://schemas.microsoft.com/office/drawing/2014/chart" uri="{C3380CC4-5D6E-409C-BE32-E72D297353CC}">
              <c16:uniqueId val="{00000003-47BC-4D57-952F-904890B34DBE}"/>
            </c:ext>
          </c:extLst>
        </c:ser>
        <c:ser>
          <c:idx val="4"/>
          <c:order val="4"/>
          <c:tx>
            <c:strRef>
              <c:f>'SERIE AÑO'!$F$4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AÑO'!$F$5:$F$16</c15:sqref>
                  </c15:fullRef>
                </c:ext>
              </c:extLst>
              <c:f>'SERIE AÑO'!$F$16</c:f>
            </c:numRef>
          </c:val>
          <c:extLst>
            <c:ext xmlns:c16="http://schemas.microsoft.com/office/drawing/2014/chart" uri="{C3380CC4-5D6E-409C-BE32-E72D297353CC}">
              <c16:uniqueId val="{00000004-47BC-4D57-952F-904890B34DBE}"/>
            </c:ext>
          </c:extLst>
        </c:ser>
        <c:ser>
          <c:idx val="5"/>
          <c:order val="5"/>
          <c:tx>
            <c:strRef>
              <c:f>'SERIE AÑO'!$G$4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AÑO'!$G$5:$G$16</c15:sqref>
                  </c15:fullRef>
                </c:ext>
              </c:extLst>
              <c:f>'SERIE AÑO'!$G$16</c:f>
            </c:numRef>
          </c:val>
          <c:extLst>
            <c:ext xmlns:c16="http://schemas.microsoft.com/office/drawing/2014/chart" uri="{C3380CC4-5D6E-409C-BE32-E72D297353CC}">
              <c16:uniqueId val="{00000005-47BC-4D57-952F-904890B34DBE}"/>
            </c:ext>
          </c:extLst>
        </c:ser>
        <c:ser>
          <c:idx val="6"/>
          <c:order val="6"/>
          <c:tx>
            <c:strRef>
              <c:f>'SERIE AÑO'!$H$4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AÑO'!$H$5:$H$16</c15:sqref>
                  </c15:fullRef>
                </c:ext>
              </c:extLst>
              <c:f>'SERIE AÑO'!$H$16</c:f>
            </c:numRef>
          </c:val>
          <c:extLst>
            <c:ext xmlns:c16="http://schemas.microsoft.com/office/drawing/2014/chart" uri="{C3380CC4-5D6E-409C-BE32-E72D297353CC}">
              <c16:uniqueId val="{00000006-47BC-4D57-952F-904890B34DBE}"/>
            </c:ext>
          </c:extLst>
        </c:ser>
        <c:ser>
          <c:idx val="7"/>
          <c:order val="7"/>
          <c:tx>
            <c:strRef>
              <c:f>'SERIE AÑO'!$I$4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AÑO'!$I$5:$I$16</c15:sqref>
                  </c15:fullRef>
                </c:ext>
              </c:extLst>
              <c:f>'SERIE AÑO'!$I$16</c:f>
            </c:numRef>
          </c:val>
          <c:extLst>
            <c:ext xmlns:c16="http://schemas.microsoft.com/office/drawing/2014/chart" uri="{C3380CC4-5D6E-409C-BE32-E72D297353CC}">
              <c16:uniqueId val="{00000007-47BC-4D57-952F-904890B34DBE}"/>
            </c:ext>
          </c:extLst>
        </c:ser>
        <c:ser>
          <c:idx val="8"/>
          <c:order val="8"/>
          <c:tx>
            <c:strRef>
              <c:f>'SERIE AÑO'!$J$4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AÑO'!$J$5:$J$16</c15:sqref>
                  </c15:fullRef>
                </c:ext>
              </c:extLst>
              <c:f>'SERIE AÑO'!$J$16</c:f>
            </c:numRef>
          </c:val>
          <c:extLst>
            <c:ext xmlns:c16="http://schemas.microsoft.com/office/drawing/2014/chart" uri="{C3380CC4-5D6E-409C-BE32-E72D297353CC}">
              <c16:uniqueId val="{00000008-47BC-4D57-952F-904890B34DBE}"/>
            </c:ext>
          </c:extLst>
        </c:ser>
        <c:ser>
          <c:idx val="9"/>
          <c:order val="9"/>
          <c:tx>
            <c:strRef>
              <c:f>'SERIE AÑO'!$K$4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AÑO'!$K$5:$K$16</c15:sqref>
                  </c15:fullRef>
                </c:ext>
              </c:extLst>
              <c:f>'SERIE AÑO'!$K$16</c:f>
            </c:numRef>
          </c:val>
          <c:extLst>
            <c:ext xmlns:c16="http://schemas.microsoft.com/office/drawing/2014/chart" uri="{C3380CC4-5D6E-409C-BE32-E72D297353CC}">
              <c16:uniqueId val="{00000009-47BC-4D57-952F-904890B34DBE}"/>
            </c:ext>
          </c:extLst>
        </c:ser>
        <c:ser>
          <c:idx val="10"/>
          <c:order val="10"/>
          <c:tx>
            <c:strRef>
              <c:f>'SERIE AÑO'!$L$4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AÑO'!$L$5:$L$16</c15:sqref>
                  </c15:fullRef>
                </c:ext>
              </c:extLst>
              <c:f>'SERIE AÑO'!$L$16</c:f>
            </c:numRef>
          </c:val>
          <c:extLst>
            <c:ext xmlns:c16="http://schemas.microsoft.com/office/drawing/2014/chart" uri="{C3380CC4-5D6E-409C-BE32-E72D297353CC}">
              <c16:uniqueId val="{0000000A-47BC-4D57-952F-904890B34DBE}"/>
            </c:ext>
          </c:extLst>
        </c:ser>
        <c:ser>
          <c:idx val="11"/>
          <c:order val="11"/>
          <c:tx>
            <c:strRef>
              <c:f>'SERIE AÑO'!$M$4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AÑO'!$M$5:$M$16</c15:sqref>
                  </c15:fullRef>
                </c:ext>
              </c:extLst>
              <c:f>'SERIE AÑO'!$M$16</c:f>
              <c:numCache>
                <c:formatCode>General</c:formatCode>
                <c:ptCount val="1"/>
                <c:pt idx="0">
                  <c:v>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BC-4D57-952F-904890B34DBE}"/>
            </c:ext>
          </c:extLst>
        </c:ser>
        <c:ser>
          <c:idx val="12"/>
          <c:order val="12"/>
          <c:tx>
            <c:strRef>
              <c:f>'SERIE AÑO'!$N$4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AÑO'!$N$5:$N$16</c15:sqref>
                  </c15:fullRef>
                </c:ext>
              </c:extLst>
              <c:f>'SERIE AÑO'!$N$16</c:f>
              <c:numCache>
                <c:formatCode>#,##0</c:formatCode>
                <c:ptCount val="1"/>
                <c:pt idx="0">
                  <c:v>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3-420B-A793-FC99EEA8D2A9}"/>
            </c:ext>
          </c:extLst>
        </c:ser>
        <c:ser>
          <c:idx val="13"/>
          <c:order val="13"/>
          <c:tx>
            <c:strRef>
              <c:f>'SERIE AÑO'!$O$4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AÑO'!$O$5:$O$16</c15:sqref>
                  </c15:fullRef>
                </c:ext>
              </c:extLst>
              <c:f>'SERIE AÑO'!$O$16</c:f>
              <c:numCache>
                <c:formatCode>#,##0</c:formatCode>
                <c:ptCount val="1"/>
                <c:pt idx="0">
                  <c:v>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A-4BEA-A10E-6418B2B595A0}"/>
            </c:ext>
          </c:extLst>
        </c:ser>
        <c:ser>
          <c:idx val="14"/>
          <c:order val="14"/>
          <c:tx>
            <c:strRef>
              <c:f>'SERIE AÑO'!$P$4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AÑO'!$P$5:$P$16</c15:sqref>
                  </c15:fullRef>
                </c:ext>
              </c:extLst>
              <c:f>'SERIE AÑO'!$P$16</c:f>
              <c:numCache>
                <c:formatCode>#,##0</c:formatCode>
                <c:ptCount val="1"/>
                <c:pt idx="0">
                  <c:v>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3A-4BEA-A10E-6418B2B595A0}"/>
            </c:ext>
          </c:extLst>
        </c:ser>
        <c:ser>
          <c:idx val="15"/>
          <c:order val="15"/>
          <c:tx>
            <c:strRef>
              <c:f>'SERIE AÑO'!$Q$4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AÑO'!$A$5:$A$16</c15:sqref>
                  </c15:fullRef>
                </c:ext>
              </c:extLst>
              <c:f>'SERIE AÑO'!$A$16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AÑO'!$Q$5:$Q$16</c15:sqref>
                  </c15:fullRef>
                </c:ext>
              </c:extLst>
              <c:f>'SERIE AÑO'!$Q$16</c:f>
              <c:numCache>
                <c:formatCode>#,##0</c:formatCode>
                <c:ptCount val="1"/>
                <c:pt idx="0">
                  <c:v>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C-4988-AB35-EEF078B786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34878600"/>
        <c:axId val="634878992"/>
        <c:axId val="0"/>
        <c:extLst/>
      </c:bar3DChart>
      <c:catAx>
        <c:axId val="634878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78992"/>
        <c:crosses val="autoZero"/>
        <c:auto val="1"/>
        <c:lblAlgn val="ctr"/>
        <c:lblOffset val="100"/>
        <c:noMultiLvlLbl val="0"/>
      </c:catAx>
      <c:valAx>
        <c:axId val="63487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78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Monto Colocado (millones)</a:t>
            </a:r>
          </a:p>
          <a:p>
            <a:pPr>
              <a:defRPr/>
            </a:pPr>
            <a:r>
              <a:rPr lang="es-ES"/>
              <a:t>Acumulado a</a:t>
            </a:r>
            <a:r>
              <a:rPr lang="es-ES" baseline="0"/>
              <a:t> DICIEMBRE</a:t>
            </a:r>
            <a:r>
              <a:rPr lang="es-ES"/>
              <a:t> 2016-2020</a:t>
            </a:r>
          </a:p>
        </c:rich>
      </c:tx>
      <c:layout>
        <c:manualLayout>
          <c:xMode val="edge"/>
          <c:yMode val="edge"/>
          <c:x val="0.20456233740973445"/>
          <c:y val="2.28380119330081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2334596396443E-2"/>
          <c:y val="0.42579475417859208"/>
          <c:w val="0.93889533080720711"/>
          <c:h val="0.5437369700139386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'SERIE AÑO'!$B$20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AÑO'!$B$21:$B$32</c15:sqref>
                  </c15:fullRef>
                </c:ext>
              </c:extLst>
              <c:f>'SERIE AÑO'!$B$32</c:f>
            </c:numRef>
          </c:val>
          <c:extLst>
            <c:ext xmlns:c16="http://schemas.microsoft.com/office/drawing/2014/chart" uri="{C3380CC4-5D6E-409C-BE32-E72D297353CC}">
              <c16:uniqueId val="{00000000-23AB-479B-8BF9-AF21428B1C00}"/>
            </c:ext>
          </c:extLst>
        </c:ser>
        <c:ser>
          <c:idx val="0"/>
          <c:order val="1"/>
          <c:tx>
            <c:strRef>
              <c:f>'SERIE AÑO'!$C$20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AÑO'!$C$21:$C$32</c15:sqref>
                  </c15:fullRef>
                </c:ext>
              </c:extLst>
              <c:f>'SERIE AÑO'!$C$32</c:f>
            </c:numRef>
          </c:val>
          <c:extLst>
            <c:ext xmlns:c16="http://schemas.microsoft.com/office/drawing/2014/chart" uri="{C3380CC4-5D6E-409C-BE32-E72D297353CC}">
              <c16:uniqueId val="{00000001-23AB-479B-8BF9-AF21428B1C00}"/>
            </c:ext>
          </c:extLst>
        </c:ser>
        <c:ser>
          <c:idx val="1"/>
          <c:order val="2"/>
          <c:tx>
            <c:strRef>
              <c:f>'SERIE AÑO'!$D$20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AÑO'!$D$21:$D$32</c15:sqref>
                  </c15:fullRef>
                </c:ext>
              </c:extLst>
              <c:f>'SERIE AÑO'!$D$32</c:f>
            </c:numRef>
          </c:val>
          <c:extLst>
            <c:ext xmlns:c16="http://schemas.microsoft.com/office/drawing/2014/chart" uri="{C3380CC4-5D6E-409C-BE32-E72D297353CC}">
              <c16:uniqueId val="{00000002-23AB-479B-8BF9-AF21428B1C00}"/>
            </c:ext>
          </c:extLst>
        </c:ser>
        <c:ser>
          <c:idx val="3"/>
          <c:order val="3"/>
          <c:tx>
            <c:strRef>
              <c:f>'SERIE AÑO'!$E$20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AÑO'!$E$21:$E$32</c15:sqref>
                  </c15:fullRef>
                </c:ext>
              </c:extLst>
              <c:f>'SERIE AÑO'!$E$32</c:f>
            </c:numRef>
          </c:val>
          <c:extLst>
            <c:ext xmlns:c16="http://schemas.microsoft.com/office/drawing/2014/chart" uri="{C3380CC4-5D6E-409C-BE32-E72D297353CC}">
              <c16:uniqueId val="{00000003-23AB-479B-8BF9-AF21428B1C00}"/>
            </c:ext>
          </c:extLst>
        </c:ser>
        <c:ser>
          <c:idx val="4"/>
          <c:order val="4"/>
          <c:tx>
            <c:strRef>
              <c:f>'SERIE AÑO'!$F$20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AÑO'!$F$21:$F$32</c15:sqref>
                  </c15:fullRef>
                </c:ext>
              </c:extLst>
              <c:f>'SERIE AÑO'!$F$32</c:f>
            </c:numRef>
          </c:val>
          <c:extLst>
            <c:ext xmlns:c16="http://schemas.microsoft.com/office/drawing/2014/chart" uri="{C3380CC4-5D6E-409C-BE32-E72D297353CC}">
              <c16:uniqueId val="{00000004-23AB-479B-8BF9-AF21428B1C00}"/>
            </c:ext>
          </c:extLst>
        </c:ser>
        <c:ser>
          <c:idx val="5"/>
          <c:order val="5"/>
          <c:tx>
            <c:strRef>
              <c:f>'SERIE AÑO'!$G$20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AÑO'!$G$21:$G$32</c15:sqref>
                  </c15:fullRef>
                </c:ext>
              </c:extLst>
              <c:f>'SERIE AÑO'!$G$32</c:f>
            </c:numRef>
          </c:val>
          <c:extLst>
            <c:ext xmlns:c16="http://schemas.microsoft.com/office/drawing/2014/chart" uri="{C3380CC4-5D6E-409C-BE32-E72D297353CC}">
              <c16:uniqueId val="{00000005-23AB-479B-8BF9-AF21428B1C00}"/>
            </c:ext>
          </c:extLst>
        </c:ser>
        <c:ser>
          <c:idx val="6"/>
          <c:order val="6"/>
          <c:tx>
            <c:strRef>
              <c:f>'SERIE AÑO'!$H$20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numFmt formatCode="&quot;₡&quot;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AÑO'!$H$21:$H$32</c15:sqref>
                  </c15:fullRef>
                </c:ext>
              </c:extLst>
              <c:f>'SERIE AÑO'!$H$32</c:f>
            </c:numRef>
          </c:val>
          <c:extLst>
            <c:ext xmlns:c16="http://schemas.microsoft.com/office/drawing/2014/chart" uri="{C3380CC4-5D6E-409C-BE32-E72D297353CC}">
              <c16:uniqueId val="{00000006-23AB-479B-8BF9-AF21428B1C00}"/>
            </c:ext>
          </c:extLst>
        </c:ser>
        <c:ser>
          <c:idx val="7"/>
          <c:order val="7"/>
          <c:tx>
            <c:strRef>
              <c:f>'SERIE AÑO'!$I$20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numFmt formatCode="&quot;₡&quot;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AÑO'!$I$21:$I$32</c15:sqref>
                  </c15:fullRef>
                </c:ext>
              </c:extLst>
              <c:f>'SERIE AÑO'!$I$32</c:f>
            </c:numRef>
          </c:val>
          <c:extLst>
            <c:ext xmlns:c16="http://schemas.microsoft.com/office/drawing/2014/chart" uri="{C3380CC4-5D6E-409C-BE32-E72D297353CC}">
              <c16:uniqueId val="{00000007-23AB-479B-8BF9-AF21428B1C00}"/>
            </c:ext>
          </c:extLst>
        </c:ser>
        <c:ser>
          <c:idx val="8"/>
          <c:order val="8"/>
          <c:tx>
            <c:strRef>
              <c:f>'SERIE AÑO'!$J$20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numFmt formatCode="&quot;₡&quot;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AÑO'!$J$21:$J$32</c15:sqref>
                  </c15:fullRef>
                </c:ext>
              </c:extLst>
              <c:f>'SERIE AÑO'!$J$32</c:f>
            </c:numRef>
          </c:val>
          <c:extLst>
            <c:ext xmlns:c16="http://schemas.microsoft.com/office/drawing/2014/chart" uri="{C3380CC4-5D6E-409C-BE32-E72D297353CC}">
              <c16:uniqueId val="{00000008-23AB-479B-8BF9-AF21428B1C00}"/>
            </c:ext>
          </c:extLst>
        </c:ser>
        <c:ser>
          <c:idx val="9"/>
          <c:order val="9"/>
          <c:tx>
            <c:strRef>
              <c:f>'SERIE AÑO'!$K$20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numFmt formatCode="&quot;₡&quot;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AÑO'!$K$21:$K$32</c15:sqref>
                  </c15:fullRef>
                </c:ext>
              </c:extLst>
              <c:f>'SERIE AÑO'!$K$32</c:f>
            </c:numRef>
          </c:val>
          <c:extLst>
            <c:ext xmlns:c16="http://schemas.microsoft.com/office/drawing/2014/chart" uri="{C3380CC4-5D6E-409C-BE32-E72D297353CC}">
              <c16:uniqueId val="{00000009-23AB-479B-8BF9-AF21428B1C00}"/>
            </c:ext>
          </c:extLst>
        </c:ser>
        <c:ser>
          <c:idx val="10"/>
          <c:order val="10"/>
          <c:tx>
            <c:strRef>
              <c:f>'SERIE AÑO'!$L$20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dLbls>
            <c:numFmt formatCode="&quot;₡&quot;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AÑO'!$L$21:$L$32</c15:sqref>
                  </c15:fullRef>
                </c:ext>
              </c:extLst>
              <c:f>'SERIE AÑO'!$L$32</c:f>
            </c:numRef>
          </c:val>
          <c:extLst>
            <c:ext xmlns:c16="http://schemas.microsoft.com/office/drawing/2014/chart" uri="{C3380CC4-5D6E-409C-BE32-E72D297353CC}">
              <c16:uniqueId val="{0000000A-23AB-479B-8BF9-AF21428B1C00}"/>
            </c:ext>
          </c:extLst>
        </c:ser>
        <c:ser>
          <c:idx val="11"/>
          <c:order val="11"/>
          <c:tx>
            <c:strRef>
              <c:f>'SERIE AÑO'!$M$20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numFmt formatCode="&quot;₡&quot;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AÑO'!$M$21:$M$32</c15:sqref>
                  </c15:fullRef>
                </c:ext>
              </c:extLst>
              <c:f>'SERIE AÑO'!$M$32</c:f>
              <c:numCache>
                <c:formatCode>"₡"#,##0.00</c:formatCode>
                <c:ptCount val="1"/>
                <c:pt idx="0">
                  <c:v>32650.701784279998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'SERIE AÑO'!$M$23</c15:sqref>
                  <c15:dLbl>
                    <c:idx val="-1"/>
                    <c:layout>
                      <c:manualLayout>
                        <c:x val="0"/>
                        <c:y val="-6.9822325465321839E-17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1-5F8C-42C4-8BA3-F5144E45D48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B-23AB-479B-8BF9-AF21428B1C00}"/>
            </c:ext>
          </c:extLst>
        </c:ser>
        <c:ser>
          <c:idx val="12"/>
          <c:order val="12"/>
          <c:tx>
            <c:strRef>
              <c:f>'SERIE AÑO'!$N$20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AÑO'!$N$21:$N$32</c15:sqref>
                  </c15:fullRef>
                </c:ext>
              </c:extLst>
              <c:f>'SERIE AÑO'!$N$32</c:f>
              <c:numCache>
                <c:formatCode>"₡"#,##0.00</c:formatCode>
                <c:ptCount val="1"/>
                <c:pt idx="0">
                  <c:v>36961.651211050004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'SERIE AÑO'!$N$25</c15:sqref>
                  <c15:dLbl>
                    <c:idx val="-1"/>
                    <c:spPr>
                      <a:solidFill>
                        <a:schemeClr val="dk1">
                          <a:lumMod val="65000"/>
                          <a:lumOff val="35000"/>
                          <a:alpha val="75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</c15:spPr>
                      </c:ext>
                      <c:ext xmlns:c16="http://schemas.microsoft.com/office/drawing/2014/chart" uri="{C3380CC4-5D6E-409C-BE32-E72D297353CC}">
                        <c16:uniqueId val="{00000002-5F8C-42C4-8BA3-F5144E45D48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B637-492A-B9DD-35B6F631C972}"/>
            </c:ext>
          </c:extLst>
        </c:ser>
        <c:ser>
          <c:idx val="13"/>
          <c:order val="13"/>
          <c:tx>
            <c:strRef>
              <c:f>'SERIE AÑO'!$O$20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AÑO'!$O$21:$O$32</c15:sqref>
                  </c15:fullRef>
                </c:ext>
              </c:extLst>
              <c:f>'SERIE AÑO'!$O$32</c:f>
              <c:numCache>
                <c:formatCode>"₡"#,##0.00</c:formatCode>
                <c:ptCount val="1"/>
                <c:pt idx="0">
                  <c:v>36999.928799559995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5-42CE-855D-60F84A1D8E90}"/>
            </c:ext>
          </c:extLst>
        </c:ser>
        <c:ser>
          <c:idx val="14"/>
          <c:order val="14"/>
          <c:tx>
            <c:strRef>
              <c:f>'SERIE AÑO'!$P$20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AÑO'!$P$21:$P$32</c15:sqref>
                  </c15:fullRef>
                </c:ext>
              </c:extLst>
              <c:f>'SERIE AÑO'!$P$32</c:f>
              <c:numCache>
                <c:formatCode>"₡"#,##0.000</c:formatCode>
                <c:ptCount val="1"/>
                <c:pt idx="0">
                  <c:v>19065.441274000001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5-42CE-855D-60F84A1D8E90}"/>
            </c:ext>
          </c:extLst>
        </c:ser>
        <c:ser>
          <c:idx val="15"/>
          <c:order val="15"/>
          <c:tx>
            <c:strRef>
              <c:f>'SERIE AÑO'!$Q$20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AÑO'!$A$21:$A$32</c15:sqref>
                  </c15:fullRef>
                </c:ext>
              </c:extLst>
              <c:f>'SERIE AÑO'!$A$32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AÑO'!$Q$21:$Q$32</c15:sqref>
                  </c15:fullRef>
                </c:ext>
              </c:extLst>
              <c:f>'SERIE AÑO'!$Q$32</c:f>
              <c:numCache>
                <c:formatCode>"₡"#,##0.000</c:formatCode>
                <c:ptCount val="1"/>
                <c:pt idx="0">
                  <c:v>20386.412346049998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B-4A68-AB33-59F587FE4F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34877424"/>
        <c:axId val="634877032"/>
        <c:axId val="0"/>
        <c:extLst/>
      </c:bar3DChart>
      <c:catAx>
        <c:axId val="63487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77032"/>
        <c:crosses val="autoZero"/>
        <c:auto val="1"/>
        <c:lblAlgn val="ctr"/>
        <c:lblOffset val="100"/>
        <c:noMultiLvlLbl val="0"/>
      </c:catAx>
      <c:valAx>
        <c:axId val="63487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₡&quot;#,##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7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de Prestatarios</a:t>
            </a:r>
          </a:p>
          <a:p>
            <a:pPr>
              <a:defRPr/>
            </a:pPr>
            <a:r>
              <a:rPr lang="es-ES"/>
              <a:t>DICIEMBRE 2016-2020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962973607157108E-2"/>
          <c:y val="0.30701822303275667"/>
          <c:w val="0.94219400841104073"/>
          <c:h val="0.600374068908903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'SERIE AÑO'!$T$4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AÑO'!$T$5:$T$16</c15:sqref>
                  </c15:fullRef>
                </c:ext>
              </c:extLst>
              <c:f>'SERIE AÑO'!$T$16</c:f>
            </c:numRef>
          </c:val>
          <c:extLst>
            <c:ext xmlns:c16="http://schemas.microsoft.com/office/drawing/2014/chart" uri="{C3380CC4-5D6E-409C-BE32-E72D297353CC}">
              <c16:uniqueId val="{00000000-AA56-46CB-B5B1-F428A802102B}"/>
            </c:ext>
          </c:extLst>
        </c:ser>
        <c:ser>
          <c:idx val="1"/>
          <c:order val="1"/>
          <c:tx>
            <c:strRef>
              <c:f>'SERIE AÑO'!$U$4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AÑO'!$U$5:$U$16</c15:sqref>
                  </c15:fullRef>
                </c:ext>
              </c:extLst>
              <c:f>'SERIE AÑO'!$U$16</c:f>
            </c:numRef>
          </c:val>
          <c:extLst>
            <c:ext xmlns:c16="http://schemas.microsoft.com/office/drawing/2014/chart" uri="{C3380CC4-5D6E-409C-BE32-E72D297353CC}">
              <c16:uniqueId val="{00000001-AA56-46CB-B5B1-F428A802102B}"/>
            </c:ext>
          </c:extLst>
        </c:ser>
        <c:ser>
          <c:idx val="3"/>
          <c:order val="2"/>
          <c:tx>
            <c:strRef>
              <c:f>'SERIE AÑO'!$V$4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AÑO'!$V$5:$V$16</c15:sqref>
                  </c15:fullRef>
                </c:ext>
              </c:extLst>
              <c:f>'SERIE AÑO'!$V$16</c:f>
            </c:numRef>
          </c:val>
          <c:extLst>
            <c:ext xmlns:c16="http://schemas.microsoft.com/office/drawing/2014/chart" uri="{C3380CC4-5D6E-409C-BE32-E72D297353CC}">
              <c16:uniqueId val="{00000002-AA56-46CB-B5B1-F428A802102B}"/>
            </c:ext>
          </c:extLst>
        </c:ser>
        <c:ser>
          <c:idx val="4"/>
          <c:order val="3"/>
          <c:tx>
            <c:strRef>
              <c:f>'SERIE AÑO'!$W$4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AÑO'!$W$5:$W$16</c15:sqref>
                  </c15:fullRef>
                </c:ext>
              </c:extLst>
              <c:f>'SERIE AÑO'!$W$16</c:f>
            </c:numRef>
          </c:val>
          <c:extLst>
            <c:ext xmlns:c16="http://schemas.microsoft.com/office/drawing/2014/chart" uri="{C3380CC4-5D6E-409C-BE32-E72D297353CC}">
              <c16:uniqueId val="{00000003-AA56-46CB-B5B1-F428A802102B}"/>
            </c:ext>
          </c:extLst>
        </c:ser>
        <c:ser>
          <c:idx val="5"/>
          <c:order val="4"/>
          <c:tx>
            <c:strRef>
              <c:f>'SERIE AÑO'!$X$4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AÑO'!$X$5:$X$16</c15:sqref>
                  </c15:fullRef>
                </c:ext>
              </c:extLst>
              <c:f>'SERIE AÑO'!$X$16</c:f>
            </c:numRef>
          </c:val>
          <c:extLst>
            <c:ext xmlns:c16="http://schemas.microsoft.com/office/drawing/2014/chart" uri="{C3380CC4-5D6E-409C-BE32-E72D297353CC}">
              <c16:uniqueId val="{00000004-AA56-46CB-B5B1-F428A802102B}"/>
            </c:ext>
          </c:extLst>
        </c:ser>
        <c:ser>
          <c:idx val="6"/>
          <c:order val="5"/>
          <c:tx>
            <c:strRef>
              <c:f>'SERIE AÑO'!$Y$4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AÑO'!$Y$5:$Y$16</c15:sqref>
                  </c15:fullRef>
                </c:ext>
              </c:extLst>
              <c:f>'SERIE AÑO'!$Y$16</c:f>
            </c:numRef>
          </c:val>
          <c:extLst>
            <c:ext xmlns:c16="http://schemas.microsoft.com/office/drawing/2014/chart" uri="{C3380CC4-5D6E-409C-BE32-E72D297353CC}">
              <c16:uniqueId val="{00000005-AA56-46CB-B5B1-F428A802102B}"/>
            </c:ext>
          </c:extLst>
        </c:ser>
        <c:ser>
          <c:idx val="7"/>
          <c:order val="6"/>
          <c:tx>
            <c:strRef>
              <c:f>'SERIE AÑO'!$Z$4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AÑO'!$Z$5:$Z$16</c15:sqref>
                  </c15:fullRef>
                </c:ext>
              </c:extLst>
              <c:f>'SERIE AÑO'!$Z$16</c:f>
            </c:numRef>
          </c:val>
          <c:extLst>
            <c:ext xmlns:c16="http://schemas.microsoft.com/office/drawing/2014/chart" uri="{C3380CC4-5D6E-409C-BE32-E72D297353CC}">
              <c16:uniqueId val="{00000006-AA56-46CB-B5B1-F428A802102B}"/>
            </c:ext>
          </c:extLst>
        </c:ser>
        <c:ser>
          <c:idx val="8"/>
          <c:order val="7"/>
          <c:tx>
            <c:strRef>
              <c:f>'SERIE AÑO'!$AA$4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AÑO'!$AA$5:$AA$16</c15:sqref>
                  </c15:fullRef>
                </c:ext>
              </c:extLst>
              <c:f>'SERIE AÑO'!$AA$16</c:f>
            </c:numRef>
          </c:val>
          <c:extLst>
            <c:ext xmlns:c16="http://schemas.microsoft.com/office/drawing/2014/chart" uri="{C3380CC4-5D6E-409C-BE32-E72D297353CC}">
              <c16:uniqueId val="{00000007-AA56-46CB-B5B1-F428A802102B}"/>
            </c:ext>
          </c:extLst>
        </c:ser>
        <c:ser>
          <c:idx val="9"/>
          <c:order val="8"/>
          <c:tx>
            <c:strRef>
              <c:f>'SERIE AÑO'!$AB$4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AÑO'!$AB$5:$AB$16</c15:sqref>
                  </c15:fullRef>
                </c:ext>
              </c:extLst>
              <c:f>'SERIE AÑO'!$AB$16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AA56-46CB-B5B1-F428A802102B}"/>
            </c:ext>
          </c:extLst>
        </c:ser>
        <c:ser>
          <c:idx val="10"/>
          <c:order val="9"/>
          <c:tx>
            <c:strRef>
              <c:f>'SERIE AÑO'!$AC$4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AÑO'!$AC$5:$AC$16</c15:sqref>
                  </c15:fullRef>
                </c:ext>
              </c:extLst>
              <c:f>'SERIE AÑO'!$AC$16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AA56-46CB-B5B1-F428A802102B}"/>
            </c:ext>
          </c:extLst>
        </c:ser>
        <c:ser>
          <c:idx val="2"/>
          <c:order val="10"/>
          <c:tx>
            <c:strRef>
              <c:f>'SERIE AÑO'!$AD$4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AÑO'!$AD$5:$AD$16</c15:sqref>
                  </c15:fullRef>
                </c:ext>
              </c:extLst>
              <c:f>'SERIE AÑO'!$AD$16</c:f>
            </c:numRef>
          </c:val>
          <c:extLst>
            <c:ext xmlns:c16="http://schemas.microsoft.com/office/drawing/2014/chart" uri="{C3380CC4-5D6E-409C-BE32-E72D297353CC}">
              <c16:uniqueId val="{0000000A-AA56-46CB-B5B1-F428A802102B}"/>
            </c:ext>
          </c:extLst>
        </c:ser>
        <c:ser>
          <c:idx val="11"/>
          <c:order val="11"/>
          <c:tx>
            <c:strRef>
              <c:f>'SERIE AÑO'!$AE$4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AÑO'!$AE$5:$AE$16</c15:sqref>
                  </c15:fullRef>
                </c:ext>
              </c:extLst>
              <c:f>'SERIE AÑO'!$AE$16</c:f>
              <c:numCache>
                <c:formatCode>#,##0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56-46CB-B5B1-F428A802102B}"/>
            </c:ext>
          </c:extLst>
        </c:ser>
        <c:ser>
          <c:idx val="12"/>
          <c:order val="12"/>
          <c:tx>
            <c:strRef>
              <c:f>'SERIE AÑO'!$AF$4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AÑO'!$AF$5:$AF$16</c15:sqref>
                  </c15:fullRef>
                </c:ext>
              </c:extLst>
              <c:f>'SERIE AÑO'!$AF$16</c:f>
              <c:numCache>
                <c:formatCode>#,##0</c:formatCode>
                <c:ptCount val="1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0-4A6A-93B1-188733BB4B94}"/>
            </c:ext>
          </c:extLst>
        </c:ser>
        <c:ser>
          <c:idx val="13"/>
          <c:order val="13"/>
          <c:tx>
            <c:strRef>
              <c:f>'SERIE AÑO'!$AG$4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AÑO'!$AG$5:$AG$16</c15:sqref>
                  </c15:fullRef>
                </c:ext>
              </c:extLst>
              <c:f>'SERIE AÑO'!$AG$16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'SERIE AÑO'!$AG$9</c15:sqref>
                  <c15:dLbl>
                    <c:idx val="-1"/>
                    <c:layout>
                      <c:manualLayout>
                        <c:x val="-6.9230773424032313E-3"/>
                        <c:y val="-2.550478641498597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1-E9FF-4B74-862E-FF989FA689F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3202-4D37-919C-3B9A296598C9}"/>
            </c:ext>
          </c:extLst>
        </c:ser>
        <c:ser>
          <c:idx val="14"/>
          <c:order val="14"/>
          <c:tx>
            <c:strRef>
              <c:f>'SERIE AÑO'!$AH$4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AÑO'!$AH$5:$AH$16</c15:sqref>
                  </c15:fullRef>
                </c:ext>
              </c:extLst>
              <c:f>'SERIE AÑO'!$AH$16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'SERIE AÑO'!$AH$10</c15:sqref>
                  <c15:dLbl>
                    <c:idx val="-1"/>
                    <c:layout>
                      <c:manualLayout>
                        <c:x val="0"/>
                        <c:y val="-2.869288471685921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2-E9FF-4B74-862E-FF989FA689F1}"/>
                      </c:ext>
                    </c:extLst>
                  </c15:dLbl>
                </c15:categoryFilterException>
                <c15:categoryFilterException>
                  <c15:sqref>'SERIE AÑO'!$AH$11</c15:sqref>
                  <c15:dLbl>
                    <c:idx val="-1"/>
                    <c:layout>
                      <c:manualLayout>
                        <c:x val="-1.1960587509709148E-2"/>
                        <c:y val="-1.582117832897212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3-E9FF-4B74-862E-FF989FA689F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3202-4D37-919C-3B9A296598C9}"/>
            </c:ext>
          </c:extLst>
        </c:ser>
        <c:ser>
          <c:idx val="15"/>
          <c:order val="15"/>
          <c:tx>
            <c:strRef>
              <c:f>'SERIE AÑO'!$AI$4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'SERIE AÑO'!$S$5:$S$16</c15:sqref>
                  </c15:fullRef>
                </c:ext>
              </c:extLst>
              <c:f>'SERIE AÑO'!$S$16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'SERIE AÑO'!$AI$5:$AI$16</c15:sqref>
                  </c15:fullRef>
                </c:ext>
              </c:extLst>
              <c:f>'SERIE AÑO'!$AI$16</c:f>
              <c:numCache>
                <c:formatCode>#,##0</c:formatCode>
                <c:ptCount val="1"/>
                <c:pt idx="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2-4354-844E-59AF0E72F2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34879384"/>
        <c:axId val="634876248"/>
        <c:axId val="0"/>
        <c:extLst/>
      </c:bar3DChart>
      <c:catAx>
        <c:axId val="634879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76248"/>
        <c:crosses val="autoZero"/>
        <c:auto val="1"/>
        <c:lblAlgn val="ctr"/>
        <c:lblOffset val="100"/>
        <c:noMultiLvlLbl val="0"/>
      </c:catAx>
      <c:valAx>
        <c:axId val="63487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7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114300</xdr:rowOff>
    </xdr:from>
    <xdr:to>
      <xdr:col>18</xdr:col>
      <xdr:colOff>428625</xdr:colOff>
      <xdr:row>79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89</xdr:row>
      <xdr:rowOff>133350</xdr:rowOff>
    </xdr:from>
    <xdr:to>
      <xdr:col>18</xdr:col>
      <xdr:colOff>428625</xdr:colOff>
      <xdr:row>102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72</xdr:row>
      <xdr:rowOff>104775</xdr:rowOff>
    </xdr:from>
    <xdr:to>
      <xdr:col>10</xdr:col>
      <xdr:colOff>444500</xdr:colOff>
      <xdr:row>87</xdr:row>
      <xdr:rowOff>28575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</xdr:rowOff>
    </xdr:from>
    <xdr:ext cx="687917" cy="651164"/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87917" cy="651164"/>
        </a:xfrm>
        <a:prstGeom prst="rect">
          <a:avLst/>
        </a:prstGeom>
      </xdr:spPr>
    </xdr:pic>
    <xdr:clientData/>
  </xdr:oneCellAnchor>
  <xdr:twoCellAnchor>
    <xdr:from>
      <xdr:col>0</xdr:col>
      <xdr:colOff>58207</xdr:colOff>
      <xdr:row>87</xdr:row>
      <xdr:rowOff>154516</xdr:rowOff>
    </xdr:from>
    <xdr:to>
      <xdr:col>5</xdr:col>
      <xdr:colOff>104775</xdr:colOff>
      <xdr:row>103</xdr:row>
      <xdr:rowOff>161925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228600</xdr:colOff>
      <xdr:row>88</xdr:row>
      <xdr:rowOff>6927</xdr:rowOff>
    </xdr:from>
    <xdr:to>
      <xdr:col>10</xdr:col>
      <xdr:colOff>445559</xdr:colOff>
      <xdr:row>104</xdr:row>
      <xdr:rowOff>16452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82262</xdr:colOff>
      <xdr:row>72</xdr:row>
      <xdr:rowOff>69273</xdr:rowOff>
    </xdr:from>
    <xdr:to>
      <xdr:col>5</xdr:col>
      <xdr:colOff>129886</xdr:colOff>
      <xdr:row>87</xdr:row>
      <xdr:rowOff>3462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257175</xdr:colOff>
      <xdr:row>7</xdr:row>
      <xdr:rowOff>247650</xdr:rowOff>
    </xdr:to>
    <xdr:sp macro="" textlink="">
      <xdr:nvSpPr>
        <xdr:cNvPr id="5121" name="Control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257175</xdr:colOff>
      <xdr:row>7</xdr:row>
      <xdr:rowOff>247650</xdr:rowOff>
    </xdr:to>
    <xdr:sp macro="" textlink="">
      <xdr:nvSpPr>
        <xdr:cNvPr id="5122" name="Control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257175</xdr:colOff>
      <xdr:row>7</xdr:row>
      <xdr:rowOff>247650</xdr:rowOff>
    </xdr:to>
    <xdr:sp macro="" textlink="">
      <xdr:nvSpPr>
        <xdr:cNvPr id="5123" name="Control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257175</xdr:colOff>
      <xdr:row>7</xdr:row>
      <xdr:rowOff>247650</xdr:rowOff>
    </xdr:to>
    <xdr:sp macro="" textlink="">
      <xdr:nvSpPr>
        <xdr:cNvPr id="5124" name="Control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257175</xdr:colOff>
      <xdr:row>7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33475"/>
          <a:ext cx="257175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257175</xdr:colOff>
      <xdr:row>7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33475"/>
          <a:ext cx="257175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257175</xdr:colOff>
      <xdr:row>7</xdr:row>
      <xdr:rowOff>247650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33475"/>
          <a:ext cx="257175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257175</xdr:colOff>
      <xdr:row>7</xdr:row>
      <xdr:rowOff>247650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33475"/>
          <a:ext cx="257175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lores/Desktop/ESTADISTICA%20POR%20SESI&#211;N/ESTADISTICA%202018/Sesion%20%2342-2018/Sesion%20%2342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por sesión"/>
      <sheetName val="SERIE AÑO"/>
      <sheetName val="Consolidado descolocadas"/>
      <sheetName val="ESTADISTICA ENVIO SEMANAL"/>
      <sheetName val="Sesion #42-2018"/>
    </sheetNames>
    <sheetDataSet>
      <sheetData sheetId="0">
        <row r="4">
          <cell r="H4">
            <v>521</v>
          </cell>
        </row>
        <row r="8">
          <cell r="H8">
            <v>1087</v>
          </cell>
        </row>
        <row r="11">
          <cell r="H11">
            <v>1467</v>
          </cell>
        </row>
        <row r="16">
          <cell r="H16">
            <v>2119</v>
          </cell>
        </row>
        <row r="17">
          <cell r="H17">
            <v>2304</v>
          </cell>
        </row>
        <row r="21">
          <cell r="H21">
            <v>3166</v>
          </cell>
        </row>
        <row r="26">
          <cell r="H26">
            <v>3730</v>
          </cell>
        </row>
        <row r="30">
          <cell r="H30">
            <v>4258</v>
          </cell>
        </row>
        <row r="34">
          <cell r="H34">
            <v>4745</v>
          </cell>
        </row>
        <row r="38">
          <cell r="H38">
            <v>5295</v>
          </cell>
        </row>
        <row r="42">
          <cell r="H42">
            <v>5634</v>
          </cell>
        </row>
      </sheetData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9" displayName="Tabla9" ref="A1:M53" totalsRowShown="0" headerRowDxfId="103" dataDxfId="102">
  <autoFilter ref="A1:M53" xr:uid="{00000000-0009-0000-0100-000005000000}"/>
  <tableColumns count="13">
    <tableColumn id="1" xr3:uid="{00000000-0010-0000-0000-000001000000}" name="Sesión" dataDxfId="101"/>
    <tableColumn id="2" xr3:uid="{00000000-0010-0000-0000-000002000000}" name="Fecha" dataDxfId="100"/>
    <tableColumn id="3" xr3:uid="{00000000-0010-0000-0000-000003000000}" name="Preg. C.R." dataDxfId="99"/>
    <tableColumn id="4" xr3:uid="{00000000-0010-0000-0000-000004000000}" name="Preg. Ext." dataDxfId="98"/>
    <tableColumn id="5" xr3:uid="{00000000-0010-0000-0000-000005000000}" name="Posg. C.R." dataDxfId="97"/>
    <tableColumn id="6" xr3:uid="{00000000-0010-0000-0000-000006000000}" name="Posg. Ext." dataDxfId="96"/>
    <tableColumn id="15" xr3:uid="{00000000-0010-0000-0000-00000F000000}" name="Amp Pre CR" dataDxfId="95"/>
    <tableColumn id="14" xr3:uid="{00000000-0010-0000-0000-00000E000000}" name="Amp Pre Ext" dataDxfId="94"/>
    <tableColumn id="13" xr3:uid="{00000000-0010-0000-0000-00000D000000}" name="Amp Pos CR" dataDxfId="93"/>
    <tableColumn id="12" xr3:uid="{00000000-0010-0000-0000-00000C000000}" name="Amp Pos Ext" dataDxfId="92"/>
    <tableColumn id="9" xr3:uid="{00000000-0010-0000-0000-000009000000}" name="Fondo Aval" dataDxfId="91"/>
    <tableColumn id="7" xr3:uid="{00000000-0010-0000-0000-000007000000}" name="No." dataDxfId="90">
      <calculatedColumnFormula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calculatedColumnFormula>
    </tableColumn>
    <tableColumn id="8" xr3:uid="{00000000-0010-0000-0000-000008000000}" name="Acum." dataDxfId="8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10" displayName="Tabla10" ref="N1:X53" totalsRowShown="0" headerRowDxfId="88" dataDxfId="87" dataCellStyle="Millares">
  <autoFilter ref="N1:X53" xr:uid="{00000000-0009-0000-0100-000006000000}"/>
  <tableColumns count="11">
    <tableColumn id="1" xr3:uid="{00000000-0010-0000-0100-000001000000}" name="Preg. C.R." dataDxfId="86" dataCellStyle="Millares"/>
    <tableColumn id="2" xr3:uid="{00000000-0010-0000-0100-000002000000}" name="Preg. Ext." dataDxfId="85" dataCellStyle="Millares"/>
    <tableColumn id="3" xr3:uid="{00000000-0010-0000-0100-000003000000}" name="Posg. C.R." dataDxfId="84" dataCellStyle="Millares"/>
    <tableColumn id="4" xr3:uid="{00000000-0010-0000-0100-000004000000}" name="Posg. Ext." dataDxfId="83" dataCellStyle="Millares"/>
    <tableColumn id="10" xr3:uid="{00000000-0010-0000-0100-00000A000000}" name="Amp Pre CR" dataDxfId="82" dataCellStyle="Millares"/>
    <tableColumn id="9" xr3:uid="{00000000-0010-0000-0100-000009000000}" name="Amp Pre Ext" dataDxfId="81" dataCellStyle="Millares"/>
    <tableColumn id="8" xr3:uid="{00000000-0010-0000-0100-000008000000}" name="Amp Pos CR" dataDxfId="80" dataCellStyle="Millares"/>
    <tableColumn id="7" xr3:uid="{00000000-0010-0000-0100-000007000000}" name="Amp Pos Ext" dataDxfId="79" dataCellStyle="Millares"/>
    <tableColumn id="11" xr3:uid="{00000000-0010-0000-0100-00000B000000}" name="Fondo Aval" dataDxfId="78" dataCellStyle="Millares"/>
    <tableColumn id="5" xr3:uid="{00000000-0010-0000-0100-000005000000}" name="No." dataDxfId="77" dataCellStyle="Millares">
      <calculatedColumnFormula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calculatedColumnFormula>
    </tableColumn>
    <tableColumn id="6" xr3:uid="{00000000-0010-0000-0100-000006000000}" name="Acum." dataDxfId="76" dataCellStyle="Millares">
      <calculatedColumnFormula>+Tabla10[[#This Row],[No.]]+W1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a3" displayName="Tabla3" ref="A4:Q16" totalsRowShown="0" headerRowDxfId="75" dataDxfId="74">
  <autoFilter ref="A4:Q16" xr:uid="{00000000-0009-0000-0100-000001000000}"/>
  <tableColumns count="17">
    <tableColumn id="1" xr3:uid="{00000000-0010-0000-0200-000001000000}" name="NUMERO" dataDxfId="73"/>
    <tableColumn id="2" xr3:uid="{00000000-0010-0000-0200-000002000000}" name="2005" dataDxfId="72"/>
    <tableColumn id="3" xr3:uid="{00000000-0010-0000-0200-000003000000}" name="2006" dataDxfId="71"/>
    <tableColumn id="4" xr3:uid="{00000000-0010-0000-0200-000004000000}" name="2007" dataDxfId="70"/>
    <tableColumn id="5" xr3:uid="{00000000-0010-0000-0200-000005000000}" name="2008" dataDxfId="69"/>
    <tableColumn id="6" xr3:uid="{00000000-0010-0000-0200-000006000000}" name="2009" dataDxfId="68"/>
    <tableColumn id="7" xr3:uid="{00000000-0010-0000-0200-000007000000}" name="2010" dataDxfId="67"/>
    <tableColumn id="8" xr3:uid="{00000000-0010-0000-0200-000008000000}" name="2011" dataDxfId="66"/>
    <tableColumn id="9" xr3:uid="{00000000-0010-0000-0200-000009000000}" name="2012" dataDxfId="65"/>
    <tableColumn id="10" xr3:uid="{00000000-0010-0000-0200-00000A000000}" name="2013" dataDxfId="64"/>
    <tableColumn id="11" xr3:uid="{00000000-0010-0000-0200-00000B000000}" name="2014" dataDxfId="63"/>
    <tableColumn id="12" xr3:uid="{00000000-0010-0000-0200-00000C000000}" name="2015" dataDxfId="62"/>
    <tableColumn id="13" xr3:uid="{00000000-0010-0000-0200-00000D000000}" name="2016" dataDxfId="61"/>
    <tableColumn id="14" xr3:uid="{00000000-0010-0000-0200-00000E000000}" name="2017" dataDxfId="60"/>
    <tableColumn id="15" xr3:uid="{00000000-0010-0000-0200-00000F000000}" name="2018" dataDxfId="59"/>
    <tableColumn id="16" xr3:uid="{00000000-0010-0000-0200-000010000000}" name="2019" dataDxfId="58"/>
    <tableColumn id="17" xr3:uid="{00000000-0010-0000-0200-000011000000}" name="2020" dataDxfId="57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a4" displayName="Tabla4" ref="A20:Q32" totalsRowShown="0" headerRowDxfId="56" dataDxfId="55">
  <autoFilter ref="A20:Q32" xr:uid="{00000000-0009-0000-0100-000002000000}"/>
  <tableColumns count="17">
    <tableColumn id="1" xr3:uid="{00000000-0010-0000-0300-000001000000}" name="MONTO" dataDxfId="54"/>
    <tableColumn id="2" xr3:uid="{00000000-0010-0000-0300-000002000000}" name="2005" dataDxfId="53"/>
    <tableColumn id="3" xr3:uid="{00000000-0010-0000-0300-000003000000}" name="2006" dataDxfId="52"/>
    <tableColumn id="4" xr3:uid="{00000000-0010-0000-0300-000004000000}" name="2007" dataDxfId="51"/>
    <tableColumn id="5" xr3:uid="{00000000-0010-0000-0300-000005000000}" name="2008" dataDxfId="50"/>
    <tableColumn id="6" xr3:uid="{00000000-0010-0000-0300-000006000000}" name="2009" dataDxfId="49">
      <calculatedColumnFormula>3425030/1000</calculatedColumnFormula>
    </tableColumn>
    <tableColumn id="7" xr3:uid="{00000000-0010-0000-0300-000007000000}" name="2010" dataDxfId="48">
      <calculatedColumnFormula>+#REF!/1000000</calculatedColumnFormula>
    </tableColumn>
    <tableColumn id="8" xr3:uid="{00000000-0010-0000-0300-000008000000}" name="2011" dataDxfId="47"/>
    <tableColumn id="9" xr3:uid="{00000000-0010-0000-0300-000009000000}" name="2012" dataDxfId="46"/>
    <tableColumn id="10" xr3:uid="{00000000-0010-0000-0300-00000A000000}" name="2013" dataDxfId="45">
      <calculatedColumnFormula>582899666/1000000</calculatedColumnFormula>
    </tableColumn>
    <tableColumn id="11" xr3:uid="{00000000-0010-0000-0300-00000B000000}" name="2014" dataDxfId="44"/>
    <tableColumn id="12" xr3:uid="{00000000-0010-0000-0300-00000C000000}" name="2015" dataDxfId="43"/>
    <tableColumn id="13" xr3:uid="{00000000-0010-0000-0300-00000D000000}" name="2016" dataDxfId="42"/>
    <tableColumn id="14" xr3:uid="{00000000-0010-0000-0300-00000E000000}" name="2017" dataDxfId="41"/>
    <tableColumn id="15" xr3:uid="{00000000-0010-0000-0300-00000F000000}" name="2018" dataDxfId="40"/>
    <tableColumn id="16" xr3:uid="{00000000-0010-0000-0300-000010000000}" name="2019" dataDxfId="39"/>
    <tableColumn id="17" xr3:uid="{00000000-0010-0000-0300-000011000000}" name="2020" dataDxfId="3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a32" displayName="Tabla32" ref="S4:AI17" totalsRowShown="0" headerRowDxfId="37" dataDxfId="36">
  <autoFilter ref="S4:AI17" xr:uid="{00000000-0009-0000-0100-000003000000}"/>
  <tableColumns count="17">
    <tableColumn id="1" xr3:uid="{00000000-0010-0000-0400-000001000000}" name="NUMERO" dataDxfId="35"/>
    <tableColumn id="2" xr3:uid="{00000000-0010-0000-0400-000002000000}" name="2005" dataDxfId="34"/>
    <tableColumn id="3" xr3:uid="{00000000-0010-0000-0400-000003000000}" name="2006" dataDxfId="33"/>
    <tableColumn id="4" xr3:uid="{00000000-0010-0000-0400-000004000000}" name="2007" dataDxfId="32"/>
    <tableColumn id="5" xr3:uid="{00000000-0010-0000-0400-000005000000}" name="2008" dataDxfId="31"/>
    <tableColumn id="6" xr3:uid="{00000000-0010-0000-0400-000006000000}" name="2009" dataDxfId="30"/>
    <tableColumn id="7" xr3:uid="{00000000-0010-0000-0400-000007000000}" name="2010" dataDxfId="29">
      <calculatedColumnFormula>#REF!</calculatedColumnFormula>
    </tableColumn>
    <tableColumn id="8" xr3:uid="{00000000-0010-0000-0400-000008000000}" name="2011" dataDxfId="28"/>
    <tableColumn id="9" xr3:uid="{00000000-0010-0000-0400-000009000000}" name="2012" dataDxfId="27">
      <calculatedColumnFormula>+Tabla4[[#This Row],[2012]]-I4</calculatedColumnFormula>
    </tableColumn>
    <tableColumn id="10" xr3:uid="{00000000-0010-0000-0400-00000A000000}" name="2013" dataDxfId="26"/>
    <tableColumn id="11" xr3:uid="{00000000-0010-0000-0400-00000B000000}" name="2014" dataDxfId="25"/>
    <tableColumn id="12" xr3:uid="{00000000-0010-0000-0400-00000C000000}" name="2015" dataDxfId="24">
      <calculatedColumnFormula>+Tabla3[[#This Row],[2015]]-L4</calculatedColumnFormula>
    </tableColumn>
    <tableColumn id="13" xr3:uid="{00000000-0010-0000-0400-00000D000000}" name="2016" dataDxfId="23"/>
    <tableColumn id="14" xr3:uid="{00000000-0010-0000-0400-00000E000000}" name="2017" dataDxfId="22">
      <calculatedColumnFormula>+Tabla3[[#This Row],[2017]]</calculatedColumnFormula>
    </tableColumn>
    <tableColumn id="15" xr3:uid="{00000000-0010-0000-0400-00000F000000}" name="2018" dataDxfId="21"/>
    <tableColumn id="16" xr3:uid="{00000000-0010-0000-0400-000010000000}" name="2019" dataDxfId="20"/>
    <tableColumn id="17" xr3:uid="{00000000-0010-0000-0400-000011000000}" name="2020" dataDxfId="19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3" displayName="Tabla43" ref="S20:AI33" totalsRowShown="0" headerRowDxfId="18" dataDxfId="17">
  <autoFilter ref="S20:AI33" xr:uid="{00000000-0009-0000-0100-000004000000}"/>
  <tableColumns count="17">
    <tableColumn id="1" xr3:uid="{00000000-0010-0000-0500-000001000000}" name="MONTO" dataDxfId="16"/>
    <tableColumn id="2" xr3:uid="{00000000-0010-0000-0500-000002000000}" name="2005" dataDxfId="15"/>
    <tableColumn id="3" xr3:uid="{00000000-0010-0000-0500-000003000000}" name="2006" dataDxfId="14"/>
    <tableColumn id="4" xr3:uid="{00000000-0010-0000-0500-000004000000}" name="2007" dataDxfId="13"/>
    <tableColumn id="5" xr3:uid="{00000000-0010-0000-0500-000005000000}" name="2008" dataDxfId="12"/>
    <tableColumn id="6" xr3:uid="{00000000-0010-0000-0500-000006000000}" name="2009" dataDxfId="11">
      <calculatedColumnFormula>3425030/1000</calculatedColumnFormula>
    </tableColumn>
    <tableColumn id="7" xr3:uid="{00000000-0010-0000-0500-000007000000}" name="2010" dataDxfId="10"/>
    <tableColumn id="8" xr3:uid="{00000000-0010-0000-0500-000008000000}" name="2011" dataDxfId="9"/>
    <tableColumn id="9" xr3:uid="{00000000-0010-0000-0500-000009000000}" name="2012" dataDxfId="8"/>
    <tableColumn id="10" xr3:uid="{00000000-0010-0000-0500-00000A000000}" name="2013" dataDxfId="7"/>
    <tableColumn id="11" xr3:uid="{00000000-0010-0000-0500-00000B000000}" name="2014" dataDxfId="6"/>
    <tableColumn id="12" xr3:uid="{00000000-0010-0000-0500-00000C000000}" name="2015" dataDxfId="5"/>
    <tableColumn id="13" xr3:uid="{00000000-0010-0000-0500-00000D000000}" name="2016" dataDxfId="4"/>
    <tableColumn id="14" xr3:uid="{00000000-0010-0000-0500-00000E000000}" name="2017" dataDxfId="3"/>
    <tableColumn id="15" xr3:uid="{00000000-0010-0000-0500-00000F000000}" name="2018" dataDxfId="2"/>
    <tableColumn id="16" xr3:uid="{00000000-0010-0000-0500-000010000000}" name="2019" dataDxfId="1">
      <calculatedColumnFormula>+Tabla4[[#This Row],[2019]]</calculatedColumnFormula>
    </tableColumn>
    <tableColumn id="17" xr3:uid="{00000000-0010-0000-0500-000011000000}" name="2020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"/>
  <dimension ref="A1:Z72"/>
  <sheetViews>
    <sheetView topLeftCell="R1" zoomScaleNormal="100" workbookViewId="0">
      <pane ySplit="1" topLeftCell="A47" activePane="bottomLeft" state="frozen"/>
      <selection activeCell="F1" sqref="F1"/>
      <selection pane="bottomLeft" activeCell="L51" sqref="L51:L52"/>
    </sheetView>
  </sheetViews>
  <sheetFormatPr baseColWidth="10" defaultColWidth="11.42578125" defaultRowHeight="12.75" x14ac:dyDescent="0.2"/>
  <cols>
    <col min="1" max="1" width="8" style="5" customWidth="1"/>
    <col min="2" max="2" width="12.5703125" style="5" bestFit="1" customWidth="1"/>
    <col min="3" max="5" width="9.140625" style="5" customWidth="1"/>
    <col min="6" max="8" width="12.7109375" style="5" customWidth="1"/>
    <col min="9" max="10" width="9.140625" style="5" customWidth="1"/>
    <col min="11" max="11" width="9.140625" style="76" customWidth="1"/>
    <col min="12" max="12" width="9.7109375" style="5" customWidth="1"/>
    <col min="13" max="13" width="10.28515625" style="6" customWidth="1"/>
    <col min="14" max="15" width="20" style="23" customWidth="1"/>
    <col min="16" max="16" width="19.85546875" style="23" customWidth="1"/>
    <col min="17" max="17" width="19.5703125" style="23" customWidth="1"/>
    <col min="18" max="18" width="20.140625" style="23" customWidth="1"/>
    <col min="19" max="19" width="19.28515625" style="23" bestFit="1" customWidth="1"/>
    <col min="20" max="20" width="18.7109375" style="23" customWidth="1"/>
    <col min="21" max="21" width="21.5703125" style="23" customWidth="1"/>
    <col min="22" max="22" width="21.5703125" style="77" customWidth="1"/>
    <col min="23" max="23" width="21.5703125" style="23" customWidth="1"/>
    <col min="24" max="24" width="21.5703125" style="5" customWidth="1"/>
    <col min="25" max="25" width="2.140625" style="5" customWidth="1"/>
    <col min="26" max="26" width="19.85546875" style="5" bestFit="1" customWidth="1"/>
    <col min="27" max="16384" width="11.42578125" style="5"/>
  </cols>
  <sheetData>
    <row r="1" spans="1:24" s="74" customFormat="1" ht="58.9" customHeight="1" x14ac:dyDescent="0.2">
      <c r="A1" s="86" t="s">
        <v>28</v>
      </c>
      <c r="B1" s="87" t="s">
        <v>29</v>
      </c>
      <c r="C1" s="87" t="s">
        <v>30</v>
      </c>
      <c r="D1" s="87" t="s">
        <v>31</v>
      </c>
      <c r="E1" s="87" t="s">
        <v>32</v>
      </c>
      <c r="F1" s="87" t="s">
        <v>33</v>
      </c>
      <c r="G1" s="87" t="s">
        <v>99</v>
      </c>
      <c r="H1" s="87" t="s">
        <v>100</v>
      </c>
      <c r="I1" s="87" t="s">
        <v>101</v>
      </c>
      <c r="J1" s="87" t="s">
        <v>102</v>
      </c>
      <c r="K1" s="87" t="s">
        <v>103</v>
      </c>
      <c r="L1" s="89" t="s">
        <v>34</v>
      </c>
      <c r="M1" s="90" t="s">
        <v>35</v>
      </c>
      <c r="N1" s="87" t="s">
        <v>30</v>
      </c>
      <c r="O1" s="87" t="s">
        <v>31</v>
      </c>
      <c r="P1" s="87" t="s">
        <v>32</v>
      </c>
      <c r="Q1" s="87" t="s">
        <v>33</v>
      </c>
      <c r="R1" s="87" t="s">
        <v>99</v>
      </c>
      <c r="S1" s="87" t="s">
        <v>100</v>
      </c>
      <c r="T1" s="87" t="s">
        <v>101</v>
      </c>
      <c r="U1" s="87" t="s">
        <v>102</v>
      </c>
      <c r="V1" s="87" t="s">
        <v>103</v>
      </c>
      <c r="W1" s="89" t="s">
        <v>34</v>
      </c>
      <c r="X1" s="90" t="s">
        <v>35</v>
      </c>
    </row>
    <row r="2" spans="1:24" ht="15" x14ac:dyDescent="0.2">
      <c r="A2" s="92">
        <v>1</v>
      </c>
      <c r="B2" s="95">
        <v>43837</v>
      </c>
      <c r="C2" s="91">
        <v>114</v>
      </c>
      <c r="D2" s="91">
        <v>0</v>
      </c>
      <c r="E2" s="91">
        <v>5</v>
      </c>
      <c r="F2" s="91">
        <v>0</v>
      </c>
      <c r="G2" s="91">
        <v>34</v>
      </c>
      <c r="H2" s="91">
        <v>0</v>
      </c>
      <c r="I2" s="91">
        <v>0</v>
      </c>
      <c r="J2" s="91">
        <v>0</v>
      </c>
      <c r="K2" s="91">
        <v>9</v>
      </c>
      <c r="L2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162</v>
      </c>
      <c r="M2" s="94">
        <v>0</v>
      </c>
      <c r="N2" s="98">
        <v>710425223</v>
      </c>
      <c r="O2" s="99">
        <v>0</v>
      </c>
      <c r="P2" s="99">
        <v>28219061</v>
      </c>
      <c r="Q2" s="99">
        <v>0</v>
      </c>
      <c r="R2" s="99">
        <v>129469920</v>
      </c>
      <c r="S2" s="99">
        <v>0</v>
      </c>
      <c r="T2" s="99">
        <v>0</v>
      </c>
      <c r="U2" s="99">
        <v>0</v>
      </c>
      <c r="V2" s="99">
        <v>133363238</v>
      </c>
      <c r="W2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1001477442</v>
      </c>
      <c r="X2" s="97"/>
    </row>
    <row r="3" spans="1:24" ht="15" x14ac:dyDescent="0.2">
      <c r="A3" s="92">
        <v>2</v>
      </c>
      <c r="B3" s="95">
        <v>43843</v>
      </c>
      <c r="C3" s="91">
        <v>70</v>
      </c>
      <c r="D3" s="91">
        <v>0</v>
      </c>
      <c r="E3" s="91">
        <v>3</v>
      </c>
      <c r="F3" s="91">
        <v>0</v>
      </c>
      <c r="G3" s="91">
        <v>19</v>
      </c>
      <c r="H3" s="91">
        <v>0</v>
      </c>
      <c r="I3" s="91">
        <v>0</v>
      </c>
      <c r="J3" s="91">
        <v>0</v>
      </c>
      <c r="K3" s="91">
        <v>2</v>
      </c>
      <c r="L3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94</v>
      </c>
      <c r="M3" s="94">
        <f>+Tabla9[[#This Row],[No.]]+L2</f>
        <v>256</v>
      </c>
      <c r="N3" s="98">
        <v>375785355</v>
      </c>
      <c r="O3" s="98">
        <v>0</v>
      </c>
      <c r="P3" s="98">
        <v>26436155</v>
      </c>
      <c r="Q3" s="98">
        <v>0</v>
      </c>
      <c r="R3" s="98">
        <v>64034395</v>
      </c>
      <c r="S3" s="98">
        <v>0</v>
      </c>
      <c r="T3" s="98">
        <v>0</v>
      </c>
      <c r="U3" s="98">
        <v>0</v>
      </c>
      <c r="V3" s="98">
        <v>23634085</v>
      </c>
      <c r="W3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489889990</v>
      </c>
      <c r="X3" s="97">
        <f>+Tabla10[[#This Row],[No.]]+W2</f>
        <v>1491367432</v>
      </c>
    </row>
    <row r="4" spans="1:24" ht="15" x14ac:dyDescent="0.2">
      <c r="A4" s="92">
        <v>3</v>
      </c>
      <c r="B4" s="95">
        <v>43845</v>
      </c>
      <c r="C4" s="91">
        <v>1</v>
      </c>
      <c r="D4" s="91">
        <v>0</v>
      </c>
      <c r="E4" s="91">
        <v>0</v>
      </c>
      <c r="F4" s="91">
        <v>0</v>
      </c>
      <c r="G4" s="91">
        <v>0</v>
      </c>
      <c r="H4" s="91">
        <v>0</v>
      </c>
      <c r="I4" s="91">
        <v>0</v>
      </c>
      <c r="J4" s="91">
        <v>0</v>
      </c>
      <c r="K4" s="91">
        <v>0</v>
      </c>
      <c r="L4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</v>
      </c>
      <c r="M4" s="94">
        <f>M3+L4</f>
        <v>257</v>
      </c>
      <c r="N4" s="98">
        <v>3753950</v>
      </c>
      <c r="O4" s="98">
        <v>0</v>
      </c>
      <c r="P4" s="98">
        <v>0</v>
      </c>
      <c r="Q4" s="98">
        <v>0</v>
      </c>
      <c r="R4" s="98">
        <v>0</v>
      </c>
      <c r="S4" s="98">
        <v>0</v>
      </c>
      <c r="T4" s="98">
        <v>0</v>
      </c>
      <c r="U4" s="98">
        <v>0</v>
      </c>
      <c r="V4" s="98">
        <v>0</v>
      </c>
      <c r="W4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3753950</v>
      </c>
      <c r="X4" s="97">
        <f>+X3+Tabla10[[#This Row],[No.]]</f>
        <v>1495121382</v>
      </c>
    </row>
    <row r="5" spans="1:24" s="25" customFormat="1" ht="15" x14ac:dyDescent="0.2">
      <c r="A5" s="92">
        <v>4</v>
      </c>
      <c r="B5" s="95">
        <v>43850</v>
      </c>
      <c r="C5" s="135">
        <f>79-Tabla9[[#This Row],[Fondo Aval]]</f>
        <v>76</v>
      </c>
      <c r="D5" s="135">
        <v>0</v>
      </c>
      <c r="E5" s="135">
        <v>0</v>
      </c>
      <c r="F5" s="135">
        <v>0</v>
      </c>
      <c r="G5" s="135">
        <v>20</v>
      </c>
      <c r="H5" s="135">
        <v>0</v>
      </c>
      <c r="I5" s="135">
        <v>1</v>
      </c>
      <c r="J5" s="135">
        <v>0</v>
      </c>
      <c r="K5" s="135">
        <v>3</v>
      </c>
      <c r="L5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100</v>
      </c>
      <c r="M5" s="94">
        <f>M4+L5</f>
        <v>357</v>
      </c>
      <c r="N5" s="136">
        <f>477359250+7526409-Tabla10[[#This Row],[Fondo Aval]]</f>
        <v>458391996</v>
      </c>
      <c r="O5" s="136">
        <v>0</v>
      </c>
      <c r="P5" s="136">
        <v>0</v>
      </c>
      <c r="Q5" s="136">
        <v>0</v>
      </c>
      <c r="R5" s="136">
        <v>39033342</v>
      </c>
      <c r="S5" s="136">
        <v>0</v>
      </c>
      <c r="T5" s="136">
        <v>550800</v>
      </c>
      <c r="U5" s="136">
        <v>0</v>
      </c>
      <c r="V5" s="136">
        <v>26493663</v>
      </c>
      <c r="W5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524469801</v>
      </c>
      <c r="X5" s="97">
        <f>+X4+Tabla10[[#This Row],[No.]]</f>
        <v>2019591183</v>
      </c>
    </row>
    <row r="6" spans="1:24" s="76" customFormat="1" ht="15" x14ac:dyDescent="0.2">
      <c r="A6" s="92">
        <v>5</v>
      </c>
      <c r="B6" s="95">
        <v>43858</v>
      </c>
      <c r="C6" s="91">
        <v>59</v>
      </c>
      <c r="D6" s="91">
        <v>0</v>
      </c>
      <c r="E6" s="91">
        <v>3</v>
      </c>
      <c r="F6" s="91">
        <v>2</v>
      </c>
      <c r="G6" s="91">
        <v>8</v>
      </c>
      <c r="H6" s="91">
        <v>0</v>
      </c>
      <c r="I6" s="91">
        <v>1</v>
      </c>
      <c r="J6" s="91">
        <v>0</v>
      </c>
      <c r="K6" s="91">
        <v>4</v>
      </c>
      <c r="L6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77</v>
      </c>
      <c r="M6" s="94">
        <f t="shared" ref="M6:M19" si="0">M5+L6</f>
        <v>434</v>
      </c>
      <c r="N6" s="99">
        <v>339051839</v>
      </c>
      <c r="O6" s="99">
        <v>0</v>
      </c>
      <c r="P6" s="99">
        <v>13599741</v>
      </c>
      <c r="Q6" s="99">
        <v>19860779</v>
      </c>
      <c r="R6" s="99">
        <v>26207364</v>
      </c>
      <c r="S6" s="99">
        <v>0</v>
      </c>
      <c r="T6" s="99">
        <v>1693100</v>
      </c>
      <c r="U6" s="99">
        <v>0</v>
      </c>
      <c r="V6" s="99">
        <v>38965796</v>
      </c>
      <c r="W6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439378619</v>
      </c>
      <c r="X6" s="97">
        <f>+X5+Tabla10[[#This Row],[No.]]</f>
        <v>2458969802</v>
      </c>
    </row>
    <row r="7" spans="1:24" ht="15" x14ac:dyDescent="0.2">
      <c r="A7" s="92">
        <v>6</v>
      </c>
      <c r="B7" s="95">
        <v>43861</v>
      </c>
      <c r="C7" s="91">
        <v>106</v>
      </c>
      <c r="D7" s="91">
        <v>0</v>
      </c>
      <c r="E7" s="91">
        <v>5</v>
      </c>
      <c r="F7" s="91">
        <v>1</v>
      </c>
      <c r="G7" s="91">
        <v>35</v>
      </c>
      <c r="H7" s="91">
        <v>0</v>
      </c>
      <c r="I7" s="91">
        <v>0</v>
      </c>
      <c r="J7" s="91">
        <v>0</v>
      </c>
      <c r="K7" s="91">
        <v>3</v>
      </c>
      <c r="L7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150</v>
      </c>
      <c r="M7" s="94">
        <f t="shared" si="0"/>
        <v>584</v>
      </c>
      <c r="N7" s="98">
        <v>701322296</v>
      </c>
      <c r="O7" s="98">
        <v>0</v>
      </c>
      <c r="P7" s="98">
        <v>21285389</v>
      </c>
      <c r="Q7" s="98">
        <v>33947063</v>
      </c>
      <c r="R7" s="98">
        <v>111627768</v>
      </c>
      <c r="S7" s="98">
        <v>0</v>
      </c>
      <c r="T7" s="98">
        <v>0</v>
      </c>
      <c r="U7" s="98">
        <v>0</v>
      </c>
      <c r="V7" s="98">
        <v>40279381</v>
      </c>
      <c r="W7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908461897</v>
      </c>
      <c r="X7" s="97">
        <f>+X6+Tabla10[[#This Row],[No.]]</f>
        <v>3367431699</v>
      </c>
    </row>
    <row r="8" spans="1:24" s="25" customFormat="1" ht="15" x14ac:dyDescent="0.2">
      <c r="A8" s="92">
        <v>7</v>
      </c>
      <c r="B8" s="95">
        <v>43865</v>
      </c>
      <c r="C8" s="135">
        <v>3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3</v>
      </c>
      <c r="M8" s="94">
        <f t="shared" si="0"/>
        <v>587</v>
      </c>
      <c r="N8" s="136">
        <v>22484010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36">
        <v>0</v>
      </c>
      <c r="V8" s="136">
        <v>0</v>
      </c>
      <c r="W8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22484010</v>
      </c>
      <c r="X8" s="97">
        <f>+X7+Tabla10[[#This Row],[No.]]</f>
        <v>3389915709</v>
      </c>
    </row>
    <row r="9" spans="1:24" s="25" customFormat="1" ht="15" x14ac:dyDescent="0.2">
      <c r="A9" s="92">
        <v>8</v>
      </c>
      <c r="B9" s="95">
        <v>43871</v>
      </c>
      <c r="C9" s="135">
        <v>89</v>
      </c>
      <c r="D9" s="135">
        <v>0</v>
      </c>
      <c r="E9" s="135">
        <v>1</v>
      </c>
      <c r="F9" s="135">
        <v>0</v>
      </c>
      <c r="G9" s="135">
        <v>26</v>
      </c>
      <c r="H9" s="135">
        <v>0</v>
      </c>
      <c r="I9" s="135">
        <v>1</v>
      </c>
      <c r="J9" s="135">
        <v>1</v>
      </c>
      <c r="K9" s="135">
        <v>4</v>
      </c>
      <c r="L9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122</v>
      </c>
      <c r="M9" s="94">
        <f t="shared" si="0"/>
        <v>709</v>
      </c>
      <c r="N9" s="136">
        <v>632800938</v>
      </c>
      <c r="O9" s="136">
        <v>0</v>
      </c>
      <c r="P9" s="136">
        <v>2626182</v>
      </c>
      <c r="Q9" s="136">
        <v>0</v>
      </c>
      <c r="R9" s="136">
        <v>82288870</v>
      </c>
      <c r="S9" s="136">
        <v>0</v>
      </c>
      <c r="T9" s="136">
        <v>853197</v>
      </c>
      <c r="U9" s="136">
        <v>4289362</v>
      </c>
      <c r="V9" s="136">
        <v>39136219</v>
      </c>
      <c r="W9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761994768</v>
      </c>
      <c r="X9" s="97">
        <f>+X8+Tabla10[[#This Row],[No.]]</f>
        <v>4151910477</v>
      </c>
    </row>
    <row r="10" spans="1:24" s="25" customFormat="1" ht="15" x14ac:dyDescent="0.2">
      <c r="A10" s="92">
        <v>9</v>
      </c>
      <c r="B10" s="95">
        <v>43879</v>
      </c>
      <c r="C10" s="135">
        <f>76-Tabla9[[#This Row],[Fondo Aval]]</f>
        <v>70</v>
      </c>
      <c r="D10" s="135">
        <v>1</v>
      </c>
      <c r="E10" s="135">
        <v>2</v>
      </c>
      <c r="F10" s="135">
        <v>3</v>
      </c>
      <c r="G10" s="135">
        <v>35</v>
      </c>
      <c r="H10" s="135">
        <v>0</v>
      </c>
      <c r="I10" s="135">
        <v>0</v>
      </c>
      <c r="J10" s="135">
        <v>1</v>
      </c>
      <c r="K10" s="135">
        <v>6</v>
      </c>
      <c r="L10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118</v>
      </c>
      <c r="M10" s="94">
        <f t="shared" si="0"/>
        <v>827</v>
      </c>
      <c r="N10" s="136">
        <f>446719961-Tabla10[[#This Row],[Fondo Aval]]</f>
        <v>423252532</v>
      </c>
      <c r="O10" s="136">
        <v>17997000</v>
      </c>
      <c r="P10" s="136">
        <v>18467045</v>
      </c>
      <c r="Q10" s="136">
        <v>38320000</v>
      </c>
      <c r="R10" s="136">
        <v>91295467</v>
      </c>
      <c r="S10" s="136">
        <v>0</v>
      </c>
      <c r="T10" s="136">
        <v>0</v>
      </c>
      <c r="U10" s="136">
        <v>1450000</v>
      </c>
      <c r="V10" s="136">
        <v>23467429</v>
      </c>
      <c r="W10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614249473</v>
      </c>
      <c r="X10" s="97">
        <f>+X9+Tabla10[[#This Row],[No.]]</f>
        <v>4766159950</v>
      </c>
    </row>
    <row r="11" spans="1:24" s="25" customFormat="1" ht="15" x14ac:dyDescent="0.2">
      <c r="A11" s="92">
        <v>10</v>
      </c>
      <c r="B11" s="95">
        <v>43886</v>
      </c>
      <c r="C11" s="135">
        <v>72</v>
      </c>
      <c r="D11" s="135">
        <v>2</v>
      </c>
      <c r="E11" s="135">
        <v>3</v>
      </c>
      <c r="F11" s="135">
        <v>0</v>
      </c>
      <c r="G11" s="135">
        <v>26</v>
      </c>
      <c r="H11" s="135">
        <v>0</v>
      </c>
      <c r="I11" s="135">
        <v>0</v>
      </c>
      <c r="J11" s="135">
        <v>0</v>
      </c>
      <c r="K11" s="135">
        <v>8</v>
      </c>
      <c r="L11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111</v>
      </c>
      <c r="M11" s="94">
        <f t="shared" si="0"/>
        <v>938</v>
      </c>
      <c r="N11" s="136">
        <v>572070881</v>
      </c>
      <c r="O11" s="136">
        <v>22445636</v>
      </c>
      <c r="P11" s="136">
        <v>10223200</v>
      </c>
      <c r="Q11" s="136">
        <v>0</v>
      </c>
      <c r="R11" s="136">
        <v>86290286</v>
      </c>
      <c r="S11" s="136">
        <v>0</v>
      </c>
      <c r="T11" s="136">
        <v>0</v>
      </c>
      <c r="U11" s="136">
        <v>0</v>
      </c>
      <c r="V11" s="136">
        <v>66663375</v>
      </c>
      <c r="W11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757693378</v>
      </c>
      <c r="X11" s="97">
        <f>+X10+Tabla10[[#This Row],[No.]]</f>
        <v>5523853328</v>
      </c>
    </row>
    <row r="12" spans="1:24" ht="15" x14ac:dyDescent="0.2">
      <c r="A12" s="92">
        <v>11</v>
      </c>
      <c r="B12" s="95">
        <v>43887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6</v>
      </c>
      <c r="L12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</v>
      </c>
      <c r="M12" s="94">
        <f t="shared" si="0"/>
        <v>944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60102498</v>
      </c>
      <c r="W12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60102498</v>
      </c>
      <c r="X12" s="97">
        <f>+X11+Tabla10[[#This Row],[No.]]</f>
        <v>5583955826</v>
      </c>
    </row>
    <row r="13" spans="1:24" ht="15" x14ac:dyDescent="0.2">
      <c r="A13" s="92">
        <v>12</v>
      </c>
      <c r="B13" s="95">
        <v>43893</v>
      </c>
      <c r="C13" s="91">
        <v>61</v>
      </c>
      <c r="D13" s="91">
        <v>0</v>
      </c>
      <c r="E13" s="91">
        <v>1</v>
      </c>
      <c r="F13" s="91">
        <v>3</v>
      </c>
      <c r="G13" s="91">
        <v>44</v>
      </c>
      <c r="H13" s="91">
        <v>0</v>
      </c>
      <c r="I13" s="91">
        <v>0</v>
      </c>
      <c r="J13" s="91">
        <v>0</v>
      </c>
      <c r="K13" s="91">
        <v>1</v>
      </c>
      <c r="L13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110</v>
      </c>
      <c r="M13" s="94">
        <f t="shared" si="0"/>
        <v>1054</v>
      </c>
      <c r="N13" s="98">
        <v>422623932</v>
      </c>
      <c r="O13" s="98">
        <v>0</v>
      </c>
      <c r="P13" s="98">
        <v>7200000</v>
      </c>
      <c r="Q13" s="98">
        <v>15833000</v>
      </c>
      <c r="R13" s="98">
        <v>147552175</v>
      </c>
      <c r="S13" s="98">
        <v>0</v>
      </c>
      <c r="T13" s="98">
        <v>0</v>
      </c>
      <c r="U13" s="98">
        <v>0</v>
      </c>
      <c r="V13" s="98">
        <v>8566140</v>
      </c>
      <c r="W13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601775247</v>
      </c>
      <c r="X13" s="97">
        <f>+X12+Tabla10[[#This Row],[No.]]</f>
        <v>6185731073</v>
      </c>
    </row>
    <row r="14" spans="1:24" ht="15" x14ac:dyDescent="0.2">
      <c r="A14" s="92">
        <v>13</v>
      </c>
      <c r="B14" s="95">
        <v>43896</v>
      </c>
      <c r="C14" s="91">
        <v>21</v>
      </c>
      <c r="D14" s="91">
        <v>1</v>
      </c>
      <c r="E14" s="91">
        <v>0</v>
      </c>
      <c r="F14" s="91">
        <v>0</v>
      </c>
      <c r="G14" s="91">
        <v>22</v>
      </c>
      <c r="H14" s="91">
        <v>0</v>
      </c>
      <c r="I14" s="91">
        <v>1</v>
      </c>
      <c r="J14" s="91">
        <v>0</v>
      </c>
      <c r="K14" s="91">
        <v>1</v>
      </c>
      <c r="L14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46</v>
      </c>
      <c r="M14" s="94">
        <f t="shared" si="0"/>
        <v>1100</v>
      </c>
      <c r="N14" s="98">
        <v>155140397</v>
      </c>
      <c r="O14" s="98">
        <v>17926200</v>
      </c>
      <c r="P14" s="98">
        <v>0</v>
      </c>
      <c r="Q14" s="98">
        <v>0</v>
      </c>
      <c r="R14" s="98">
        <v>70848675</v>
      </c>
      <c r="S14" s="98">
        <v>0</v>
      </c>
      <c r="T14" s="98">
        <v>1804490</v>
      </c>
      <c r="U14" s="98">
        <v>0</v>
      </c>
      <c r="V14" s="98">
        <v>7977835</v>
      </c>
      <c r="W14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253697597</v>
      </c>
      <c r="X14" s="97">
        <f>+X13+Tabla10[[#This Row],[No.]]</f>
        <v>6439428670</v>
      </c>
    </row>
    <row r="15" spans="1:24" s="76" customFormat="1" ht="15" x14ac:dyDescent="0.2">
      <c r="A15" s="92">
        <v>14</v>
      </c>
      <c r="B15" s="95">
        <v>43903</v>
      </c>
      <c r="C15" s="91">
        <v>61</v>
      </c>
      <c r="D15" s="91">
        <v>3</v>
      </c>
      <c r="E15" s="91">
        <v>3</v>
      </c>
      <c r="F15" s="91">
        <v>2</v>
      </c>
      <c r="G15" s="91">
        <v>35</v>
      </c>
      <c r="H15" s="91">
        <v>0</v>
      </c>
      <c r="I15" s="91">
        <v>1</v>
      </c>
      <c r="J15" s="91">
        <v>0</v>
      </c>
      <c r="K15" s="91">
        <v>5</v>
      </c>
      <c r="L15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110</v>
      </c>
      <c r="M15" s="94">
        <f t="shared" si="0"/>
        <v>1210</v>
      </c>
      <c r="N15" s="99">
        <v>472251984</v>
      </c>
      <c r="O15" s="99">
        <v>61974245</v>
      </c>
      <c r="P15" s="99">
        <v>21645401</v>
      </c>
      <c r="Q15" s="99">
        <v>11708944</v>
      </c>
      <c r="R15" s="99">
        <v>159758195</v>
      </c>
      <c r="S15" s="99">
        <v>0</v>
      </c>
      <c r="T15" s="99">
        <v>500000</v>
      </c>
      <c r="U15" s="99">
        <v>0</v>
      </c>
      <c r="V15" s="99">
        <v>33735540</v>
      </c>
      <c r="W15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761574309</v>
      </c>
      <c r="X15" s="97">
        <f>+X14+Tabla10[[#This Row],[No.]]</f>
        <v>7201002979</v>
      </c>
    </row>
    <row r="16" spans="1:24" s="25" customFormat="1" ht="15" x14ac:dyDescent="0.2">
      <c r="A16" s="92">
        <v>15</v>
      </c>
      <c r="B16" s="95">
        <v>43910</v>
      </c>
      <c r="C16" s="91">
        <v>67</v>
      </c>
      <c r="D16" s="91">
        <v>0</v>
      </c>
      <c r="E16" s="91">
        <v>2</v>
      </c>
      <c r="F16" s="91">
        <v>0</v>
      </c>
      <c r="G16" s="91">
        <v>30</v>
      </c>
      <c r="H16" s="91">
        <v>0</v>
      </c>
      <c r="I16" s="91">
        <v>0</v>
      </c>
      <c r="J16" s="91">
        <v>0</v>
      </c>
      <c r="K16" s="146">
        <v>5</v>
      </c>
      <c r="L16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104</v>
      </c>
      <c r="M16" s="94">
        <f t="shared" si="0"/>
        <v>1314</v>
      </c>
      <c r="N16" s="98">
        <v>484920214</v>
      </c>
      <c r="O16" s="98">
        <v>0</v>
      </c>
      <c r="P16" s="98">
        <v>0</v>
      </c>
      <c r="Q16" s="98">
        <v>7762200</v>
      </c>
      <c r="R16" s="98">
        <v>94642136</v>
      </c>
      <c r="S16" s="98">
        <v>0</v>
      </c>
      <c r="T16" s="98">
        <v>0</v>
      </c>
      <c r="U16" s="98">
        <v>0</v>
      </c>
      <c r="V16" s="98">
        <v>56704872</v>
      </c>
      <c r="W16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644029422</v>
      </c>
      <c r="X16" s="97">
        <f>+X15+Tabla10[[#This Row],[No.]]</f>
        <v>7845032401</v>
      </c>
    </row>
    <row r="17" spans="1:26" ht="15" x14ac:dyDescent="0.2">
      <c r="A17" s="92">
        <v>16</v>
      </c>
      <c r="B17" s="95">
        <v>43917</v>
      </c>
      <c r="C17" s="91">
        <v>37</v>
      </c>
      <c r="D17" s="91">
        <v>1</v>
      </c>
      <c r="E17" s="91">
        <v>3</v>
      </c>
      <c r="F17" s="91">
        <v>1</v>
      </c>
      <c r="G17" s="91">
        <v>20</v>
      </c>
      <c r="H17" s="91">
        <v>0</v>
      </c>
      <c r="I17" s="91">
        <v>0</v>
      </c>
      <c r="J17" s="91">
        <v>0</v>
      </c>
      <c r="K17" s="91">
        <v>3</v>
      </c>
      <c r="L17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65</v>
      </c>
      <c r="M17" s="94">
        <f t="shared" si="0"/>
        <v>1379</v>
      </c>
      <c r="N17" s="98">
        <v>249702082</v>
      </c>
      <c r="O17" s="98">
        <v>14242764</v>
      </c>
      <c r="P17" s="98">
        <v>15893000</v>
      </c>
      <c r="Q17" s="98">
        <v>5588000</v>
      </c>
      <c r="R17" s="98">
        <v>90220301</v>
      </c>
      <c r="S17" s="98">
        <v>0</v>
      </c>
      <c r="T17" s="98">
        <v>0</v>
      </c>
      <c r="U17" s="98">
        <v>0</v>
      </c>
      <c r="V17" s="98">
        <v>26149750</v>
      </c>
      <c r="W17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401795897</v>
      </c>
      <c r="X17" s="97">
        <f>+X16+Tabla10[[#This Row],[No.]]</f>
        <v>8246828298</v>
      </c>
    </row>
    <row r="18" spans="1:26" ht="15" x14ac:dyDescent="0.2">
      <c r="A18" s="92">
        <v>17</v>
      </c>
      <c r="B18" s="95">
        <v>43938</v>
      </c>
      <c r="C18" s="91">
        <f>81-Tabla9[[#This Row],[Fondo Aval]]</f>
        <v>70</v>
      </c>
      <c r="D18" s="91">
        <v>0</v>
      </c>
      <c r="E18" s="91">
        <v>0</v>
      </c>
      <c r="F18" s="91">
        <v>1</v>
      </c>
      <c r="G18" s="91">
        <v>32</v>
      </c>
      <c r="H18" s="91">
        <v>0</v>
      </c>
      <c r="I18" s="91">
        <v>0</v>
      </c>
      <c r="J18" s="91">
        <v>0</v>
      </c>
      <c r="K18" s="137">
        <v>11</v>
      </c>
      <c r="L18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114</v>
      </c>
      <c r="M18" s="94">
        <f t="shared" si="0"/>
        <v>1493</v>
      </c>
      <c r="N18" s="98">
        <f>573100179-Tabla10[[#This Row],[Fondo Aval]]</f>
        <v>477309619</v>
      </c>
      <c r="O18" s="98">
        <v>0</v>
      </c>
      <c r="P18" s="98">
        <v>0</v>
      </c>
      <c r="Q18" s="98">
        <v>4286466</v>
      </c>
      <c r="R18" s="98">
        <v>160763962</v>
      </c>
      <c r="S18" s="98">
        <v>0</v>
      </c>
      <c r="T18" s="98">
        <v>0</v>
      </c>
      <c r="U18" s="98">
        <v>0</v>
      </c>
      <c r="V18" s="98">
        <v>95790560</v>
      </c>
      <c r="W18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738150607</v>
      </c>
      <c r="X18" s="97">
        <f>+X17+Tabla10[[#This Row],[No.]]</f>
        <v>8984978905</v>
      </c>
    </row>
    <row r="19" spans="1:26" ht="15" x14ac:dyDescent="0.2">
      <c r="A19" s="92">
        <v>18</v>
      </c>
      <c r="B19" s="95">
        <v>43945</v>
      </c>
      <c r="C19" s="91">
        <v>31</v>
      </c>
      <c r="D19" s="91">
        <v>0</v>
      </c>
      <c r="E19" s="91">
        <v>0</v>
      </c>
      <c r="F19" s="91">
        <v>0</v>
      </c>
      <c r="G19" s="91">
        <v>15</v>
      </c>
      <c r="H19" s="91">
        <v>0</v>
      </c>
      <c r="I19" s="91">
        <v>0</v>
      </c>
      <c r="J19" s="91">
        <v>0</v>
      </c>
      <c r="K19" s="91">
        <v>6</v>
      </c>
      <c r="L19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52</v>
      </c>
      <c r="M19" s="94">
        <f t="shared" si="0"/>
        <v>1545</v>
      </c>
      <c r="N19" s="98">
        <f>230221008+6886752-Tabla10[[#This Row],[Fondo Aval]]</f>
        <v>172449590</v>
      </c>
      <c r="O19" s="98">
        <v>0</v>
      </c>
      <c r="P19" s="98">
        <v>0</v>
      </c>
      <c r="Q19" s="98">
        <v>0</v>
      </c>
      <c r="R19" s="98">
        <v>84320475</v>
      </c>
      <c r="S19" s="98">
        <v>0</v>
      </c>
      <c r="T19" s="98">
        <v>0</v>
      </c>
      <c r="U19" s="98">
        <v>0</v>
      </c>
      <c r="V19" s="98">
        <v>64658170</v>
      </c>
      <c r="W19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321428235</v>
      </c>
      <c r="X19" s="97">
        <f>+X18+Tabla10[[#This Row],[No.]]</f>
        <v>9306407140</v>
      </c>
    </row>
    <row r="20" spans="1:26" ht="15" x14ac:dyDescent="0.2">
      <c r="A20" s="92">
        <v>19</v>
      </c>
      <c r="B20" s="95">
        <v>43951</v>
      </c>
      <c r="C20" s="91">
        <f>26-2</f>
        <v>24</v>
      </c>
      <c r="D20" s="91">
        <v>0</v>
      </c>
      <c r="E20" s="91">
        <v>1</v>
      </c>
      <c r="F20" s="91">
        <v>1</v>
      </c>
      <c r="G20" s="91">
        <v>9</v>
      </c>
      <c r="H20" s="91">
        <v>0</v>
      </c>
      <c r="I20" s="91">
        <v>0</v>
      </c>
      <c r="J20" s="91">
        <v>0</v>
      </c>
      <c r="K20" s="91">
        <v>2</v>
      </c>
      <c r="L20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37</v>
      </c>
      <c r="M20" s="94">
        <f>M19+L20</f>
        <v>1582</v>
      </c>
      <c r="N20" s="98">
        <f>138952857-Tabla10[[#This Row],[Fondo Aval]]</f>
        <v>126498957</v>
      </c>
      <c r="O20" s="98">
        <v>0</v>
      </c>
      <c r="P20" s="98">
        <v>1477035</v>
      </c>
      <c r="Q20" s="98">
        <v>3060000</v>
      </c>
      <c r="R20" s="98">
        <v>69809433</v>
      </c>
      <c r="S20" s="98">
        <v>0</v>
      </c>
      <c r="T20" s="98">
        <v>0</v>
      </c>
      <c r="U20" s="98">
        <v>0</v>
      </c>
      <c r="V20" s="98">
        <v>12453900</v>
      </c>
      <c r="W20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213299325</v>
      </c>
      <c r="X20" s="97">
        <f>+X19+Tabla10[[#This Row],[No.]]</f>
        <v>9519706465</v>
      </c>
    </row>
    <row r="21" spans="1:26" s="25" customFormat="1" ht="15" x14ac:dyDescent="0.2">
      <c r="A21" s="92">
        <v>20</v>
      </c>
      <c r="B21" s="95">
        <v>43959</v>
      </c>
      <c r="C21" s="135">
        <f>37+1-Tabla9[[#This Row],[Fondo Aval]]</f>
        <v>32</v>
      </c>
      <c r="D21" s="135">
        <v>0</v>
      </c>
      <c r="E21" s="135">
        <v>4</v>
      </c>
      <c r="F21" s="135">
        <v>1</v>
      </c>
      <c r="G21" s="135">
        <v>17</v>
      </c>
      <c r="H21" s="135">
        <v>0</v>
      </c>
      <c r="I21" s="135">
        <v>0</v>
      </c>
      <c r="J21" s="135">
        <v>0</v>
      </c>
      <c r="K21" s="146">
        <v>6</v>
      </c>
      <c r="L21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60</v>
      </c>
      <c r="M21" s="94">
        <f t="shared" ref="M21:M53" si="1">M20+L21</f>
        <v>1642</v>
      </c>
      <c r="N21" s="136">
        <f>246517181+22954268-Tabla10[[#This Row],[Fondo Aval]]</f>
        <v>220303025</v>
      </c>
      <c r="O21" s="136">
        <v>0</v>
      </c>
      <c r="P21" s="136">
        <v>25603000</v>
      </c>
      <c r="Q21" s="136">
        <v>18000000</v>
      </c>
      <c r="R21" s="136">
        <v>69762176</v>
      </c>
      <c r="S21" s="136">
        <v>0</v>
      </c>
      <c r="T21" s="136">
        <v>0</v>
      </c>
      <c r="U21" s="136">
        <v>0</v>
      </c>
      <c r="V21" s="136">
        <v>49168424</v>
      </c>
      <c r="W21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382836625</v>
      </c>
      <c r="X21" s="97">
        <f>+X20+Tabla10[[#This Row],[No.]]</f>
        <v>9902543090</v>
      </c>
    </row>
    <row r="22" spans="1:26" s="25" customFormat="1" ht="15" x14ac:dyDescent="0.2">
      <c r="A22" s="92">
        <v>21</v>
      </c>
      <c r="B22" s="95">
        <v>43966</v>
      </c>
      <c r="C22" s="135">
        <f>23-Tabla9[[#This Row],[Fondo Aval]]</f>
        <v>17</v>
      </c>
      <c r="D22" s="135">
        <v>0</v>
      </c>
      <c r="E22" s="135">
        <v>1</v>
      </c>
      <c r="F22" s="135">
        <v>0</v>
      </c>
      <c r="G22" s="135">
        <v>16</v>
      </c>
      <c r="H22" s="135">
        <v>0</v>
      </c>
      <c r="I22" s="135">
        <v>0</v>
      </c>
      <c r="J22" s="135">
        <v>0</v>
      </c>
      <c r="K22" s="135">
        <v>6</v>
      </c>
      <c r="L22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40</v>
      </c>
      <c r="M22" s="94">
        <f t="shared" si="1"/>
        <v>1682</v>
      </c>
      <c r="N22" s="136">
        <f>186150869+14389294-Tabla10[[#This Row],[Fondo Aval]]</f>
        <v>121667747</v>
      </c>
      <c r="O22" s="136">
        <v>0</v>
      </c>
      <c r="P22" s="136">
        <v>3712800</v>
      </c>
      <c r="Q22" s="136">
        <v>0</v>
      </c>
      <c r="R22" s="136">
        <v>84502837</v>
      </c>
      <c r="S22" s="136">
        <v>0</v>
      </c>
      <c r="T22" s="136">
        <v>0</v>
      </c>
      <c r="U22" s="136">
        <v>0</v>
      </c>
      <c r="V22" s="136">
        <v>78872416</v>
      </c>
      <c r="W22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288755800</v>
      </c>
      <c r="X22" s="97">
        <f>+X21+Tabla10[[#This Row],[No.]]</f>
        <v>10191298890</v>
      </c>
    </row>
    <row r="23" spans="1:26" s="25" customFormat="1" ht="15" x14ac:dyDescent="0.2">
      <c r="A23" s="92">
        <v>22</v>
      </c>
      <c r="B23" s="95">
        <v>43973</v>
      </c>
      <c r="C23" s="135">
        <f>33-Tabla9[[#This Row],[Fondo Aval]]</f>
        <v>31</v>
      </c>
      <c r="D23" s="135">
        <v>0</v>
      </c>
      <c r="E23" s="135">
        <v>1</v>
      </c>
      <c r="F23" s="135">
        <v>1</v>
      </c>
      <c r="G23" s="135">
        <v>25</v>
      </c>
      <c r="H23" s="135">
        <v>0</v>
      </c>
      <c r="I23" s="135">
        <v>1</v>
      </c>
      <c r="J23" s="135">
        <v>0</v>
      </c>
      <c r="K23" s="135">
        <v>2</v>
      </c>
      <c r="L23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61</v>
      </c>
      <c r="M23" s="94">
        <f t="shared" si="1"/>
        <v>1743</v>
      </c>
      <c r="N23" s="136">
        <f>227796958-Tabla10[[#This Row],[Fondo Aval]]</f>
        <v>205024128</v>
      </c>
      <c r="O23" s="136">
        <v>0</v>
      </c>
      <c r="P23" s="136">
        <v>2627005</v>
      </c>
      <c r="Q23" s="136">
        <v>8438125</v>
      </c>
      <c r="R23" s="136">
        <v>99753949</v>
      </c>
      <c r="S23" s="136">
        <v>0</v>
      </c>
      <c r="T23" s="136">
        <v>930440</v>
      </c>
      <c r="U23" s="136">
        <v>0</v>
      </c>
      <c r="V23" s="136">
        <v>22772830</v>
      </c>
      <c r="W23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339546477</v>
      </c>
      <c r="X23" s="97">
        <f>+X22+Tabla10[[#This Row],[No.]]</f>
        <v>10530845367</v>
      </c>
    </row>
    <row r="24" spans="1:26" s="25" customFormat="1" ht="15" x14ac:dyDescent="0.2">
      <c r="A24" s="92">
        <v>23</v>
      </c>
      <c r="B24" s="95">
        <v>43980</v>
      </c>
      <c r="C24" s="135">
        <f>38-Tabla9[[#This Row],[Fondo Aval]]</f>
        <v>32</v>
      </c>
      <c r="D24" s="135">
        <v>0</v>
      </c>
      <c r="E24" s="135">
        <v>2</v>
      </c>
      <c r="F24" s="135">
        <v>0</v>
      </c>
      <c r="G24" s="135">
        <v>15</v>
      </c>
      <c r="H24" s="135">
        <v>0</v>
      </c>
      <c r="I24" s="135">
        <v>0</v>
      </c>
      <c r="J24" s="135">
        <v>1</v>
      </c>
      <c r="K24" s="135">
        <v>6</v>
      </c>
      <c r="L24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56</v>
      </c>
      <c r="M24" s="94">
        <f t="shared" si="1"/>
        <v>1799</v>
      </c>
      <c r="N24" s="136">
        <f>235960569-Tabla10[[#This Row],[Fondo Aval]]</f>
        <v>191031475</v>
      </c>
      <c r="O24" s="136">
        <v>0</v>
      </c>
      <c r="P24" s="136">
        <v>5808862</v>
      </c>
      <c r="Q24" s="136">
        <v>0</v>
      </c>
      <c r="R24" s="136">
        <v>64562742</v>
      </c>
      <c r="S24" s="136">
        <v>0</v>
      </c>
      <c r="T24" s="136">
        <v>0</v>
      </c>
      <c r="U24" s="136">
        <v>9723000</v>
      </c>
      <c r="V24" s="136">
        <v>44929094</v>
      </c>
      <c r="W24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316055173</v>
      </c>
      <c r="X24" s="97">
        <f>+X23+Tabla10[[#This Row],[No.]]</f>
        <v>10846900540</v>
      </c>
    </row>
    <row r="25" spans="1:26" ht="15" x14ac:dyDescent="0.2">
      <c r="A25" s="92">
        <v>24</v>
      </c>
      <c r="B25" s="95">
        <v>43987</v>
      </c>
      <c r="C25" s="91">
        <f>29-Tabla9[[#This Row],[Fondo Aval]]</f>
        <v>27</v>
      </c>
      <c r="D25" s="91">
        <v>1</v>
      </c>
      <c r="E25" s="91">
        <v>2</v>
      </c>
      <c r="F25" s="91">
        <v>1</v>
      </c>
      <c r="G25" s="91">
        <v>10</v>
      </c>
      <c r="H25" s="91">
        <v>0</v>
      </c>
      <c r="I25" s="91">
        <v>0</v>
      </c>
      <c r="J25" s="91">
        <v>0</v>
      </c>
      <c r="K25" s="91">
        <v>2</v>
      </c>
      <c r="L25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43</v>
      </c>
      <c r="M25" s="94">
        <f>M24+L25</f>
        <v>1842</v>
      </c>
      <c r="N25" s="98">
        <f>184907043-Tabla10[[#This Row],[Fondo Aval]]</f>
        <v>168061293</v>
      </c>
      <c r="O25" s="98">
        <v>9000000</v>
      </c>
      <c r="P25" s="98">
        <v>5887320</v>
      </c>
      <c r="Q25" s="98">
        <v>4443943</v>
      </c>
      <c r="R25" s="98">
        <v>36539945</v>
      </c>
      <c r="S25" s="98">
        <v>0</v>
      </c>
      <c r="T25" s="98">
        <v>0</v>
      </c>
      <c r="U25" s="98">
        <v>0</v>
      </c>
      <c r="V25" s="98">
        <v>16845750</v>
      </c>
      <c r="W25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240778251</v>
      </c>
      <c r="X25" s="97">
        <f>+X24+Tabla10[[#This Row],[No.]]</f>
        <v>11087678791</v>
      </c>
    </row>
    <row r="26" spans="1:26" ht="15" x14ac:dyDescent="0.2">
      <c r="A26" s="92">
        <v>25</v>
      </c>
      <c r="B26" s="95">
        <v>43994</v>
      </c>
      <c r="C26" s="91">
        <f>28-Tabla9[[#This Row],[Fondo Aval]]</f>
        <v>25</v>
      </c>
      <c r="D26" s="91">
        <v>0</v>
      </c>
      <c r="E26" s="91">
        <v>5</v>
      </c>
      <c r="F26" s="91">
        <v>1</v>
      </c>
      <c r="G26" s="91">
        <v>10</v>
      </c>
      <c r="H26" s="91">
        <v>0</v>
      </c>
      <c r="I26" s="91">
        <v>0</v>
      </c>
      <c r="J26" s="91">
        <v>0</v>
      </c>
      <c r="K26" s="91">
        <v>3</v>
      </c>
      <c r="L26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44</v>
      </c>
      <c r="M26" s="94">
        <f t="shared" si="1"/>
        <v>1886</v>
      </c>
      <c r="N26" s="98">
        <f>149130697-Tabla10[[#This Row],[Fondo Aval]]</f>
        <v>128862997</v>
      </c>
      <c r="O26" s="98">
        <v>0</v>
      </c>
      <c r="P26" s="98">
        <v>19901384</v>
      </c>
      <c r="Q26" s="98">
        <v>4380000</v>
      </c>
      <c r="R26" s="98">
        <v>40099135.049999997</v>
      </c>
      <c r="S26" s="98">
        <v>0</v>
      </c>
      <c r="T26" s="98">
        <v>0</v>
      </c>
      <c r="U26" s="98">
        <v>0</v>
      </c>
      <c r="V26" s="98">
        <v>20267700</v>
      </c>
      <c r="W26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213511216.05000001</v>
      </c>
      <c r="X26" s="97">
        <f>+X25+Tabla10[[#This Row],[No.]]</f>
        <v>11301190007.049999</v>
      </c>
    </row>
    <row r="27" spans="1:26" ht="15" x14ac:dyDescent="0.2">
      <c r="A27" s="92">
        <v>26</v>
      </c>
      <c r="B27" s="95">
        <v>44001</v>
      </c>
      <c r="C27" s="91">
        <f>35-Tabla9[[#This Row],[Fondo Aval]]</f>
        <v>29</v>
      </c>
      <c r="D27" s="91">
        <v>0</v>
      </c>
      <c r="E27" s="91">
        <v>0</v>
      </c>
      <c r="F27" s="91">
        <v>0</v>
      </c>
      <c r="G27" s="91">
        <v>18</v>
      </c>
      <c r="H27" s="91">
        <v>0</v>
      </c>
      <c r="I27" s="91">
        <v>1</v>
      </c>
      <c r="J27" s="91">
        <v>0</v>
      </c>
      <c r="K27" s="91">
        <v>6</v>
      </c>
      <c r="L27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54</v>
      </c>
      <c r="M27" s="94">
        <f t="shared" si="1"/>
        <v>1940</v>
      </c>
      <c r="N27" s="98">
        <f>241486813-Tabla10[[#This Row],[Fondo Aval]]</f>
        <v>205812372</v>
      </c>
      <c r="O27" s="98">
        <v>0</v>
      </c>
      <c r="P27" s="98">
        <v>0</v>
      </c>
      <c r="Q27" s="98">
        <v>0</v>
      </c>
      <c r="R27" s="98">
        <v>75985830</v>
      </c>
      <c r="S27" s="98">
        <v>0</v>
      </c>
      <c r="T27" s="98">
        <v>1570876</v>
      </c>
      <c r="U27" s="98">
        <v>0</v>
      </c>
      <c r="V27" s="98">
        <v>35674441</v>
      </c>
      <c r="W27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319043519</v>
      </c>
      <c r="X27" s="97">
        <f>+X26+Tabla10[[#This Row],[No.]]</f>
        <v>11620233526.049999</v>
      </c>
      <c r="Z27" s="145"/>
    </row>
    <row r="28" spans="1:26" ht="17.25" customHeight="1" x14ac:dyDescent="0.2">
      <c r="A28" s="92">
        <v>27</v>
      </c>
      <c r="B28" s="95">
        <v>44008</v>
      </c>
      <c r="C28" s="91">
        <f>39-Tabla9[[#This Row],[Fondo Aval]]</f>
        <v>38</v>
      </c>
      <c r="D28" s="91">
        <v>1</v>
      </c>
      <c r="E28" s="91">
        <v>0</v>
      </c>
      <c r="F28" s="91">
        <v>2</v>
      </c>
      <c r="G28" s="91">
        <v>17</v>
      </c>
      <c r="H28" s="91">
        <v>0</v>
      </c>
      <c r="I28" s="91">
        <v>1</v>
      </c>
      <c r="J28" s="91">
        <v>0</v>
      </c>
      <c r="K28" s="91">
        <v>1</v>
      </c>
      <c r="L28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60</v>
      </c>
      <c r="M28" s="94">
        <f t="shared" si="1"/>
        <v>2000</v>
      </c>
      <c r="N28" s="98">
        <f>266856713+13448256-Tabla10[[#This Row],[Fondo Aval]]</f>
        <v>255538159</v>
      </c>
      <c r="O28" s="98">
        <v>6000000</v>
      </c>
      <c r="P28" s="98">
        <v>0</v>
      </c>
      <c r="Q28" s="98">
        <v>51803567</v>
      </c>
      <c r="R28" s="98">
        <v>87786085</v>
      </c>
      <c r="S28" s="98">
        <v>0</v>
      </c>
      <c r="T28" s="98">
        <v>598815</v>
      </c>
      <c r="U28" s="98">
        <v>0</v>
      </c>
      <c r="V28" s="98">
        <v>24766810</v>
      </c>
      <c r="W28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426493436</v>
      </c>
      <c r="X28" s="97">
        <f>+X27+Tabla10[[#This Row],[No.]]</f>
        <v>12046726962.049999</v>
      </c>
    </row>
    <row r="29" spans="1:26" ht="15" x14ac:dyDescent="0.2">
      <c r="A29" s="92">
        <v>28</v>
      </c>
      <c r="B29" s="95">
        <v>44015</v>
      </c>
      <c r="C29" s="91">
        <f>38-Tabla9[[#This Row],[Fondo Aval]]</f>
        <v>34</v>
      </c>
      <c r="D29" s="91">
        <v>0</v>
      </c>
      <c r="E29" s="91">
        <v>1</v>
      </c>
      <c r="F29" s="91">
        <v>0</v>
      </c>
      <c r="G29" s="91">
        <v>23</v>
      </c>
      <c r="H29" s="91">
        <v>0</v>
      </c>
      <c r="I29" s="91">
        <v>0</v>
      </c>
      <c r="J29" s="91">
        <v>0</v>
      </c>
      <c r="K29" s="91">
        <v>4</v>
      </c>
      <c r="L29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62</v>
      </c>
      <c r="M29" s="94">
        <f t="shared" si="1"/>
        <v>2062</v>
      </c>
      <c r="N29" s="98">
        <f>296894284-Tabla10[[#This Row],[Fondo Aval]]</f>
        <v>255814493</v>
      </c>
      <c r="O29" s="98">
        <v>0</v>
      </c>
      <c r="P29" s="98">
        <v>935000</v>
      </c>
      <c r="Q29" s="98">
        <v>0</v>
      </c>
      <c r="R29" s="98">
        <v>69305159</v>
      </c>
      <c r="S29" s="98">
        <v>0</v>
      </c>
      <c r="T29" s="98">
        <v>0</v>
      </c>
      <c r="U29" s="98">
        <v>0</v>
      </c>
      <c r="V29" s="98">
        <v>41079791</v>
      </c>
      <c r="W29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367134443</v>
      </c>
      <c r="X29" s="97">
        <f>+X28+Tabla10[[#This Row],[No.]]</f>
        <v>12413861405.049999</v>
      </c>
    </row>
    <row r="30" spans="1:26" ht="15" x14ac:dyDescent="0.2">
      <c r="A30" s="92">
        <v>29</v>
      </c>
      <c r="B30" s="95">
        <v>44025</v>
      </c>
      <c r="C30" s="91">
        <f>50-Tabla9[[#This Row],[Fondo Aval]]</f>
        <v>50</v>
      </c>
      <c r="D30" s="91">
        <v>0</v>
      </c>
      <c r="E30" s="91">
        <v>7</v>
      </c>
      <c r="F30" s="91">
        <v>4</v>
      </c>
      <c r="G30" s="91">
        <v>22</v>
      </c>
      <c r="H30" s="91">
        <v>0</v>
      </c>
      <c r="I30" s="91">
        <v>1</v>
      </c>
      <c r="J30" s="91">
        <v>0</v>
      </c>
      <c r="K30" s="91">
        <v>0</v>
      </c>
      <c r="L30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84</v>
      </c>
      <c r="M30" s="94">
        <f t="shared" si="1"/>
        <v>2146</v>
      </c>
      <c r="N30" s="98">
        <f>289847938+31816074-Tabla10[[#This Row],[Fondo Aval]]</f>
        <v>321664012</v>
      </c>
      <c r="O30" s="98">
        <v>0</v>
      </c>
      <c r="P30" s="98">
        <f>14600225+14553788</f>
        <v>29154013</v>
      </c>
      <c r="Q30" s="98">
        <v>59822678</v>
      </c>
      <c r="R30" s="98">
        <v>117557311</v>
      </c>
      <c r="S30" s="98">
        <v>0</v>
      </c>
      <c r="T30" s="98">
        <v>3000000</v>
      </c>
      <c r="U30" s="98">
        <v>0</v>
      </c>
      <c r="V30" s="98">
        <v>0</v>
      </c>
      <c r="W30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531198014</v>
      </c>
      <c r="X30" s="97">
        <f>+X29+Tabla10[[#This Row],[No.]]</f>
        <v>12945059419.049999</v>
      </c>
    </row>
    <row r="31" spans="1:26" ht="15" x14ac:dyDescent="0.2">
      <c r="A31" s="92">
        <v>30</v>
      </c>
      <c r="B31" s="95">
        <v>44029</v>
      </c>
      <c r="C31" s="91">
        <f>40+3</f>
        <v>43</v>
      </c>
      <c r="D31" s="91">
        <v>1</v>
      </c>
      <c r="E31" s="91">
        <v>4</v>
      </c>
      <c r="F31" s="91">
        <v>1</v>
      </c>
      <c r="G31" s="91">
        <v>13</v>
      </c>
      <c r="H31" s="91">
        <v>0</v>
      </c>
      <c r="I31" s="91">
        <v>0</v>
      </c>
      <c r="J31" s="91">
        <v>0</v>
      </c>
      <c r="K31" s="91">
        <v>0</v>
      </c>
      <c r="L31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62</v>
      </c>
      <c r="M31" s="94">
        <f t="shared" si="1"/>
        <v>2208</v>
      </c>
      <c r="N31" s="98">
        <f>253403337+48122477</f>
        <v>301525814</v>
      </c>
      <c r="O31" s="98">
        <v>5000000</v>
      </c>
      <c r="P31" s="98">
        <v>18562466</v>
      </c>
      <c r="Q31" s="98">
        <v>13237000</v>
      </c>
      <c r="R31" s="98">
        <v>28366615</v>
      </c>
      <c r="S31" s="98">
        <v>0</v>
      </c>
      <c r="T31" s="98">
        <v>0</v>
      </c>
      <c r="U31" s="98">
        <v>0</v>
      </c>
      <c r="V31" s="98">
        <v>0</v>
      </c>
      <c r="W31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366691895</v>
      </c>
      <c r="X31" s="97">
        <f>+X30+Tabla10[[#This Row],[No.]]</f>
        <v>13311751314.049999</v>
      </c>
    </row>
    <row r="32" spans="1:26" ht="15" x14ac:dyDescent="0.2">
      <c r="A32" s="92">
        <v>31</v>
      </c>
      <c r="B32" s="95">
        <v>44036</v>
      </c>
      <c r="C32" s="91">
        <f>34+2</f>
        <v>36</v>
      </c>
      <c r="D32" s="91">
        <v>0</v>
      </c>
      <c r="E32" s="91">
        <v>1</v>
      </c>
      <c r="F32" s="91">
        <v>0</v>
      </c>
      <c r="G32" s="91">
        <v>19</v>
      </c>
      <c r="H32" s="91">
        <v>0</v>
      </c>
      <c r="I32" s="91">
        <v>1</v>
      </c>
      <c r="J32" s="91">
        <v>0</v>
      </c>
      <c r="K32" s="91">
        <v>0</v>
      </c>
      <c r="L32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57</v>
      </c>
      <c r="M32" s="94">
        <f t="shared" si="1"/>
        <v>2265</v>
      </c>
      <c r="N32" s="98">
        <f>193834159+25063730</f>
        <v>218897889</v>
      </c>
      <c r="O32" s="98">
        <v>0</v>
      </c>
      <c r="P32" s="98">
        <v>5010676</v>
      </c>
      <c r="Q32" s="98">
        <v>0</v>
      </c>
      <c r="R32" s="98">
        <v>67544624</v>
      </c>
      <c r="S32" s="98">
        <v>0</v>
      </c>
      <c r="T32" s="98">
        <v>3001540</v>
      </c>
      <c r="U32" s="98">
        <v>0</v>
      </c>
      <c r="V32" s="98">
        <v>0</v>
      </c>
      <c r="W32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294454729</v>
      </c>
      <c r="X32" s="97">
        <f>+X31+Tabla10[[#This Row],[No.]]</f>
        <v>13606206043.049999</v>
      </c>
    </row>
    <row r="33" spans="1:24" ht="15" x14ac:dyDescent="0.2">
      <c r="A33" s="92">
        <v>32</v>
      </c>
      <c r="B33" s="95">
        <v>44043</v>
      </c>
      <c r="C33" s="91">
        <f>34-Tabla9[[#This Row],[Fondo Aval]]</f>
        <v>33</v>
      </c>
      <c r="D33" s="91">
        <v>1</v>
      </c>
      <c r="E33" s="91">
        <v>1</v>
      </c>
      <c r="F33" s="91">
        <v>4</v>
      </c>
      <c r="G33" s="91">
        <v>7</v>
      </c>
      <c r="H33" s="91">
        <v>0</v>
      </c>
      <c r="I33" s="91">
        <v>0</v>
      </c>
      <c r="J33" s="91">
        <v>0</v>
      </c>
      <c r="K33" s="91">
        <v>1</v>
      </c>
      <c r="L33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47</v>
      </c>
      <c r="M33" s="94">
        <f t="shared" si="1"/>
        <v>2312</v>
      </c>
      <c r="N33" s="98">
        <f>256125755+29127586-Tabla10[[#This Row],[Fondo Aval]]</f>
        <v>254366211</v>
      </c>
      <c r="O33" s="98">
        <v>29031280</v>
      </c>
      <c r="P33" s="98">
        <v>6856076</v>
      </c>
      <c r="Q33" s="98">
        <v>114049770</v>
      </c>
      <c r="R33" s="98">
        <v>26405522</v>
      </c>
      <c r="S33" s="98">
        <v>0</v>
      </c>
      <c r="T33" s="98">
        <v>0</v>
      </c>
      <c r="U33" s="98">
        <v>0</v>
      </c>
      <c r="V33" s="98">
        <v>30887130</v>
      </c>
      <c r="W33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461595989</v>
      </c>
      <c r="X33" s="97">
        <f>+X32+Tabla10[[#This Row],[No.]]</f>
        <v>14067802032.049999</v>
      </c>
    </row>
    <row r="34" spans="1:24" ht="15" x14ac:dyDescent="0.2">
      <c r="A34" s="92">
        <v>33</v>
      </c>
      <c r="B34" s="95">
        <v>44050</v>
      </c>
      <c r="C34" s="91">
        <f>31+2</f>
        <v>33</v>
      </c>
      <c r="D34" s="91">
        <v>1</v>
      </c>
      <c r="E34" s="91">
        <v>4</v>
      </c>
      <c r="F34" s="91">
        <v>3</v>
      </c>
      <c r="G34" s="91">
        <v>12</v>
      </c>
      <c r="H34" s="91">
        <v>0</v>
      </c>
      <c r="I34" s="91">
        <v>1</v>
      </c>
      <c r="J34" s="91">
        <v>0</v>
      </c>
      <c r="K34" s="91">
        <v>0</v>
      </c>
      <c r="L34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54</v>
      </c>
      <c r="M34" s="94">
        <f t="shared" si="1"/>
        <v>2366</v>
      </c>
      <c r="N34" s="98">
        <f>172601539+39409355</f>
        <v>212010894</v>
      </c>
      <c r="O34" s="98">
        <v>17937294</v>
      </c>
      <c r="P34" s="98">
        <v>13780020</v>
      </c>
      <c r="Q34" s="98">
        <v>20656442</v>
      </c>
      <c r="R34" s="98">
        <v>55382717</v>
      </c>
      <c r="S34" s="98">
        <v>0</v>
      </c>
      <c r="T34" s="98">
        <v>844256</v>
      </c>
      <c r="U34" s="98">
        <v>0</v>
      </c>
      <c r="V34" s="98">
        <v>0</v>
      </c>
      <c r="W34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320611623</v>
      </c>
      <c r="X34" s="97">
        <f>+X33+Tabla10[[#This Row],[No.]]</f>
        <v>14388413655.049999</v>
      </c>
    </row>
    <row r="35" spans="1:24" ht="15" x14ac:dyDescent="0.2">
      <c r="A35" s="92">
        <v>34</v>
      </c>
      <c r="B35" s="95">
        <v>44057</v>
      </c>
      <c r="C35" s="91">
        <v>56</v>
      </c>
      <c r="D35" s="91">
        <v>0</v>
      </c>
      <c r="E35" s="91">
        <v>7</v>
      </c>
      <c r="F35" s="91">
        <v>0</v>
      </c>
      <c r="G35" s="91">
        <v>14</v>
      </c>
      <c r="H35" s="91">
        <v>0</v>
      </c>
      <c r="I35" s="91">
        <v>0</v>
      </c>
      <c r="J35" s="91">
        <v>0</v>
      </c>
      <c r="K35" s="91">
        <v>0</v>
      </c>
      <c r="L35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77</v>
      </c>
      <c r="M35" s="94">
        <f t="shared" si="1"/>
        <v>2443</v>
      </c>
      <c r="N35" s="98">
        <v>309022046</v>
      </c>
      <c r="O35" s="98">
        <v>0</v>
      </c>
      <c r="P35" s="98">
        <v>32489511</v>
      </c>
      <c r="Q35" s="98">
        <v>0</v>
      </c>
      <c r="R35" s="98">
        <v>31945363</v>
      </c>
      <c r="S35" s="98">
        <v>0</v>
      </c>
      <c r="T35" s="98">
        <v>0</v>
      </c>
      <c r="U35" s="98">
        <v>0</v>
      </c>
      <c r="V35" s="98">
        <v>0</v>
      </c>
      <c r="W35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373456920</v>
      </c>
      <c r="X35" s="97">
        <f>+X34+Tabla10[[#This Row],[No.]]</f>
        <v>14761870575.049999</v>
      </c>
    </row>
    <row r="36" spans="1:24" ht="15" x14ac:dyDescent="0.2">
      <c r="A36" s="92">
        <v>35</v>
      </c>
      <c r="B36" s="95">
        <v>44064</v>
      </c>
      <c r="C36" s="91">
        <f>25+2</f>
        <v>27</v>
      </c>
      <c r="D36" s="91">
        <v>0</v>
      </c>
      <c r="E36" s="91">
        <v>2</v>
      </c>
      <c r="F36" s="91">
        <v>3</v>
      </c>
      <c r="G36" s="91">
        <v>7</v>
      </c>
      <c r="H36" s="91">
        <v>0</v>
      </c>
      <c r="I36" s="91">
        <v>0</v>
      </c>
      <c r="J36" s="91">
        <v>0</v>
      </c>
      <c r="K36" s="91">
        <v>0</v>
      </c>
      <c r="L36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39</v>
      </c>
      <c r="M36" s="94">
        <f t="shared" si="1"/>
        <v>2482</v>
      </c>
      <c r="N36" s="98">
        <f>161334494+45773625</f>
        <v>207108119</v>
      </c>
      <c r="O36" s="98">
        <v>0</v>
      </c>
      <c r="P36" s="98">
        <v>11984125</v>
      </c>
      <c r="Q36" s="98">
        <v>63187336</v>
      </c>
      <c r="R36" s="98">
        <v>56561936</v>
      </c>
      <c r="S36" s="98">
        <v>0</v>
      </c>
      <c r="T36" s="98">
        <v>0</v>
      </c>
      <c r="U36" s="98">
        <v>0</v>
      </c>
      <c r="V36" s="98">
        <v>0</v>
      </c>
      <c r="W36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338841516</v>
      </c>
      <c r="X36" s="97">
        <f>+X35+Tabla10[[#This Row],[No.]]</f>
        <v>15100712091.049999</v>
      </c>
    </row>
    <row r="37" spans="1:24" ht="15" x14ac:dyDescent="0.2">
      <c r="A37" s="92">
        <v>36</v>
      </c>
      <c r="B37" s="95">
        <v>44071</v>
      </c>
      <c r="C37" s="91">
        <f>44+1-Tabla9[[#This Row],[Fondo Aval]]</f>
        <v>43</v>
      </c>
      <c r="D37" s="91">
        <v>0</v>
      </c>
      <c r="E37" s="91">
        <v>6</v>
      </c>
      <c r="F37" s="91">
        <v>1</v>
      </c>
      <c r="G37" s="91">
        <v>5</v>
      </c>
      <c r="H37" s="91">
        <v>0</v>
      </c>
      <c r="I37" s="91">
        <v>0</v>
      </c>
      <c r="J37" s="91">
        <v>0</v>
      </c>
      <c r="K37" s="91">
        <v>2</v>
      </c>
      <c r="L37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57</v>
      </c>
      <c r="M37" s="94">
        <f t="shared" si="1"/>
        <v>2539</v>
      </c>
      <c r="N37" s="98">
        <f>255801677+10536859-Tabla10[[#This Row],[Fondo Aval]]</f>
        <v>244706275</v>
      </c>
      <c r="O37" s="98">
        <v>0</v>
      </c>
      <c r="P37" s="98">
        <v>19735369</v>
      </c>
      <c r="Q37" s="98">
        <v>24024000</v>
      </c>
      <c r="R37" s="98">
        <v>15954958</v>
      </c>
      <c r="S37" s="98">
        <v>0</v>
      </c>
      <c r="T37" s="98">
        <v>0</v>
      </c>
      <c r="U37" s="98">
        <v>0</v>
      </c>
      <c r="V37" s="98">
        <v>21632261</v>
      </c>
      <c r="W37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326052863</v>
      </c>
      <c r="X37" s="97">
        <f>+X36+Tabla10[[#This Row],[No.]]</f>
        <v>15426764954.049999</v>
      </c>
    </row>
    <row r="38" spans="1:24" ht="15" x14ac:dyDescent="0.2">
      <c r="A38" s="92">
        <v>37</v>
      </c>
      <c r="B38" s="95">
        <v>44078</v>
      </c>
      <c r="C38" s="91">
        <f>54-Tabla9[[#This Row],[Fondo Aval]]</f>
        <v>52</v>
      </c>
      <c r="D38" s="91">
        <v>1</v>
      </c>
      <c r="E38" s="91">
        <v>4</v>
      </c>
      <c r="F38" s="91">
        <v>4</v>
      </c>
      <c r="G38" s="91">
        <v>8</v>
      </c>
      <c r="H38" s="91">
        <v>0</v>
      </c>
      <c r="I38" s="91">
        <v>0</v>
      </c>
      <c r="J38" s="91">
        <v>0</v>
      </c>
      <c r="K38" s="91">
        <v>2</v>
      </c>
      <c r="L38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71</v>
      </c>
      <c r="M38" s="94">
        <f t="shared" si="1"/>
        <v>2610</v>
      </c>
      <c r="N38" s="98">
        <f>240488033-Tabla10[[#This Row],[Fondo Aval]]</f>
        <v>229513749</v>
      </c>
      <c r="O38" s="98">
        <v>26204734</v>
      </c>
      <c r="P38" s="98">
        <v>14214505</v>
      </c>
      <c r="Q38" s="98">
        <v>42947196</v>
      </c>
      <c r="R38" s="98">
        <v>13941369</v>
      </c>
      <c r="S38" s="98">
        <v>0</v>
      </c>
      <c r="T38" s="98">
        <v>0</v>
      </c>
      <c r="U38" s="98">
        <v>0</v>
      </c>
      <c r="V38" s="98">
        <v>10974284</v>
      </c>
      <c r="W38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337795837</v>
      </c>
      <c r="X38" s="97">
        <f>+X37+Tabla10[[#This Row],[No.]]</f>
        <v>15764560791.049999</v>
      </c>
    </row>
    <row r="39" spans="1:24" ht="15" x14ac:dyDescent="0.2">
      <c r="A39" s="92">
        <v>38</v>
      </c>
      <c r="B39" s="95">
        <v>44085</v>
      </c>
      <c r="C39" s="91">
        <f>34-Tabla9[[#This Row],[Fondo Aval]]</f>
        <v>31</v>
      </c>
      <c r="D39" s="91">
        <v>1</v>
      </c>
      <c r="E39" s="91">
        <v>4</v>
      </c>
      <c r="F39" s="91">
        <v>3</v>
      </c>
      <c r="G39" s="91">
        <v>14</v>
      </c>
      <c r="H39" s="91">
        <v>0</v>
      </c>
      <c r="I39" s="91">
        <v>0</v>
      </c>
      <c r="J39" s="91">
        <v>0</v>
      </c>
      <c r="K39" s="91">
        <v>3</v>
      </c>
      <c r="L39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56</v>
      </c>
      <c r="M39" s="94">
        <f>M38+L39</f>
        <v>2666</v>
      </c>
      <c r="N39" s="98">
        <f>165073303-Tabla10[[#This Row],[Fondo Aval]]</f>
        <v>147887463</v>
      </c>
      <c r="O39" s="98">
        <v>13219720</v>
      </c>
      <c r="P39" s="98">
        <v>19335177</v>
      </c>
      <c r="Q39" s="98">
        <v>50559737</v>
      </c>
      <c r="R39" s="98">
        <v>63973860</v>
      </c>
      <c r="S39" s="98">
        <v>0</v>
      </c>
      <c r="T39" s="98">
        <v>0</v>
      </c>
      <c r="U39" s="98">
        <v>0</v>
      </c>
      <c r="V39" s="98">
        <v>17185840</v>
      </c>
      <c r="W39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312161797</v>
      </c>
      <c r="X39" s="97">
        <f>+X38+Tabla10[[#This Row],[No.]]</f>
        <v>16076722588.049999</v>
      </c>
    </row>
    <row r="40" spans="1:24" ht="15" x14ac:dyDescent="0.2">
      <c r="A40" s="92">
        <v>39</v>
      </c>
      <c r="B40" s="95">
        <v>44092</v>
      </c>
      <c r="C40" s="91">
        <f>39-Tabla9[[#This Row],[Fondo Aval]]</f>
        <v>37</v>
      </c>
      <c r="D40" s="91">
        <v>0</v>
      </c>
      <c r="E40" s="91">
        <v>1</v>
      </c>
      <c r="F40" s="91">
        <v>2</v>
      </c>
      <c r="G40" s="91">
        <v>14</v>
      </c>
      <c r="H40" s="91">
        <v>0</v>
      </c>
      <c r="I40" s="91">
        <v>0</v>
      </c>
      <c r="J40" s="91">
        <v>0</v>
      </c>
      <c r="K40" s="91">
        <v>2</v>
      </c>
      <c r="L40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56</v>
      </c>
      <c r="M40" s="94">
        <f t="shared" si="1"/>
        <v>2722</v>
      </c>
      <c r="N40" s="98">
        <f>182546236-Tabla10[[#This Row],[Fondo Aval]]</f>
        <v>174765636</v>
      </c>
      <c r="O40" s="98">
        <v>0</v>
      </c>
      <c r="P40" s="98">
        <v>4992670</v>
      </c>
      <c r="Q40" s="98">
        <v>44337390</v>
      </c>
      <c r="R40" s="98">
        <v>46370562</v>
      </c>
      <c r="S40" s="98">
        <v>0</v>
      </c>
      <c r="T40" s="98">
        <v>0</v>
      </c>
      <c r="U40" s="98">
        <v>0</v>
      </c>
      <c r="V40" s="98">
        <v>7780600</v>
      </c>
      <c r="W40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278246858</v>
      </c>
      <c r="X40" s="97">
        <f>+X39+Tabla10[[#This Row],[No.]]</f>
        <v>16354969446.049999</v>
      </c>
    </row>
    <row r="41" spans="1:24" ht="15" x14ac:dyDescent="0.2">
      <c r="A41" s="92">
        <v>40</v>
      </c>
      <c r="B41" s="95">
        <v>44099</v>
      </c>
      <c r="C41" s="91">
        <f>34+1-Tabla9[[#This Row],[Fondo Aval]]</f>
        <v>34</v>
      </c>
      <c r="D41" s="91">
        <v>2</v>
      </c>
      <c r="E41" s="91">
        <v>11</v>
      </c>
      <c r="F41" s="91">
        <v>1</v>
      </c>
      <c r="G41" s="91">
        <v>18</v>
      </c>
      <c r="H41" s="91">
        <v>0</v>
      </c>
      <c r="I41" s="91">
        <v>0</v>
      </c>
      <c r="J41" s="91">
        <v>0</v>
      </c>
      <c r="K41" s="91">
        <v>1</v>
      </c>
      <c r="L41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67</v>
      </c>
      <c r="M41" s="94">
        <f t="shared" si="1"/>
        <v>2789</v>
      </c>
      <c r="N41" s="98">
        <f>166879182+2635771-Tabla10[[#This Row],[Fondo Aval]]</f>
        <v>166834772</v>
      </c>
      <c r="O41" s="98">
        <v>46175122</v>
      </c>
      <c r="P41" s="98">
        <v>111780344</v>
      </c>
      <c r="Q41" s="98">
        <v>7200000</v>
      </c>
      <c r="R41" s="98">
        <v>88904442</v>
      </c>
      <c r="S41" s="98">
        <v>0</v>
      </c>
      <c r="T41" s="98">
        <v>0</v>
      </c>
      <c r="U41" s="98">
        <v>0</v>
      </c>
      <c r="V41" s="98">
        <v>2680181</v>
      </c>
      <c r="W41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423574861</v>
      </c>
      <c r="X41" s="97">
        <f>+X40+Tabla10[[#This Row],[No.]]</f>
        <v>16778544307.049999</v>
      </c>
    </row>
    <row r="42" spans="1:24" s="76" customFormat="1" ht="15" x14ac:dyDescent="0.2">
      <c r="A42" s="92">
        <v>41</v>
      </c>
      <c r="B42" s="95">
        <v>44106</v>
      </c>
      <c r="C42" s="91">
        <f>46+1</f>
        <v>47</v>
      </c>
      <c r="D42" s="91">
        <v>0</v>
      </c>
      <c r="E42" s="91">
        <v>11</v>
      </c>
      <c r="F42" s="91">
        <v>4</v>
      </c>
      <c r="G42" s="91">
        <v>9</v>
      </c>
      <c r="H42" s="91">
        <v>0</v>
      </c>
      <c r="I42" s="91">
        <v>0</v>
      </c>
      <c r="J42" s="91">
        <v>0</v>
      </c>
      <c r="K42" s="91">
        <v>0</v>
      </c>
      <c r="L42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71</v>
      </c>
      <c r="M42" s="94">
        <f t="shared" si="1"/>
        <v>2860</v>
      </c>
      <c r="N42" s="98">
        <f>274384751+5002147</f>
        <v>279386898</v>
      </c>
      <c r="O42" s="98">
        <v>0</v>
      </c>
      <c r="P42" s="98">
        <v>60082233</v>
      </c>
      <c r="Q42" s="98">
        <v>49173020</v>
      </c>
      <c r="R42" s="98">
        <v>41047698</v>
      </c>
      <c r="S42" s="98">
        <v>0</v>
      </c>
      <c r="T42" s="98">
        <v>0</v>
      </c>
      <c r="U42" s="98">
        <v>0</v>
      </c>
      <c r="V42" s="98">
        <v>0</v>
      </c>
      <c r="W42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429689849</v>
      </c>
      <c r="X42" s="97">
        <f>+X41+Tabla10[[#This Row],[No.]]</f>
        <v>17208234156.049999</v>
      </c>
    </row>
    <row r="43" spans="1:24" s="25" customFormat="1" ht="15" x14ac:dyDescent="0.2">
      <c r="A43" s="92">
        <v>42</v>
      </c>
      <c r="B43" s="95">
        <v>44113</v>
      </c>
      <c r="C43" s="91">
        <f>44-Tabla9[[#This Row],[Fondo Aval]]</f>
        <v>43</v>
      </c>
      <c r="D43" s="91">
        <v>0</v>
      </c>
      <c r="E43" s="91">
        <v>7</v>
      </c>
      <c r="F43" s="91">
        <v>5</v>
      </c>
      <c r="G43" s="91">
        <v>12</v>
      </c>
      <c r="H43" s="91">
        <v>0</v>
      </c>
      <c r="I43" s="91">
        <v>0</v>
      </c>
      <c r="J43" s="91">
        <v>0</v>
      </c>
      <c r="K43" s="91">
        <v>1</v>
      </c>
      <c r="L43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68</v>
      </c>
      <c r="M43" s="94">
        <f t="shared" si="1"/>
        <v>2928</v>
      </c>
      <c r="N43" s="98">
        <f>243194685-Tabla10[[#This Row],[Fondo Aval]]</f>
        <v>237720886</v>
      </c>
      <c r="O43" s="98">
        <v>0</v>
      </c>
      <c r="P43" s="98">
        <v>28300160</v>
      </c>
      <c r="Q43" s="98">
        <v>47065729</v>
      </c>
      <c r="R43" s="98">
        <v>47535552</v>
      </c>
      <c r="S43" s="98">
        <v>0</v>
      </c>
      <c r="T43" s="98">
        <v>0</v>
      </c>
      <c r="U43" s="98">
        <v>0</v>
      </c>
      <c r="V43" s="98">
        <v>5473799</v>
      </c>
      <c r="W43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366096126</v>
      </c>
      <c r="X43" s="97">
        <f>+X42+Tabla10[[#This Row],[No.]]</f>
        <v>17574330282.049999</v>
      </c>
    </row>
    <row r="44" spans="1:24" ht="15" x14ac:dyDescent="0.2">
      <c r="A44" s="92">
        <v>43</v>
      </c>
      <c r="B44" s="95">
        <v>44120</v>
      </c>
      <c r="C44" s="91">
        <v>52</v>
      </c>
      <c r="D44" s="91">
        <v>0</v>
      </c>
      <c r="E44" s="91">
        <v>4</v>
      </c>
      <c r="F44" s="91">
        <v>1</v>
      </c>
      <c r="G44" s="91">
        <v>18</v>
      </c>
      <c r="H44" s="91">
        <v>0</v>
      </c>
      <c r="I44" s="91">
        <v>0</v>
      </c>
      <c r="J44" s="91">
        <v>0</v>
      </c>
      <c r="K44" s="91">
        <v>0</v>
      </c>
      <c r="L44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75</v>
      </c>
      <c r="M44" s="94">
        <f t="shared" si="1"/>
        <v>3003</v>
      </c>
      <c r="N44" s="98">
        <v>364227818</v>
      </c>
      <c r="O44" s="98">
        <v>0</v>
      </c>
      <c r="P44" s="98">
        <v>18922386</v>
      </c>
      <c r="Q44" s="98">
        <v>14970000</v>
      </c>
      <c r="R44" s="98">
        <v>47717324</v>
      </c>
      <c r="S44" s="98">
        <v>0</v>
      </c>
      <c r="T44" s="98">
        <v>0</v>
      </c>
      <c r="U44" s="98">
        <v>0</v>
      </c>
      <c r="V44" s="98">
        <v>0</v>
      </c>
      <c r="W44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445837528</v>
      </c>
      <c r="X44" s="97">
        <f>+X43+Tabla10[[#This Row],[No.]]</f>
        <v>18020167810.049999</v>
      </c>
    </row>
    <row r="45" spans="1:24" s="25" customFormat="1" ht="15" x14ac:dyDescent="0.2">
      <c r="A45" s="92">
        <v>44</v>
      </c>
      <c r="B45" s="95">
        <v>44127</v>
      </c>
      <c r="C45" s="91">
        <f>37+2</f>
        <v>39</v>
      </c>
      <c r="D45" s="91">
        <v>1</v>
      </c>
      <c r="E45" s="91">
        <v>8</v>
      </c>
      <c r="F45" s="91">
        <v>2</v>
      </c>
      <c r="G45" s="91">
        <v>23</v>
      </c>
      <c r="H45" s="91">
        <v>1</v>
      </c>
      <c r="I45" s="91">
        <v>0</v>
      </c>
      <c r="J45" s="91">
        <v>0</v>
      </c>
      <c r="K45" s="91">
        <v>0</v>
      </c>
      <c r="L45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74</v>
      </c>
      <c r="M45" s="94">
        <f t="shared" si="1"/>
        <v>3077</v>
      </c>
      <c r="N45" s="98">
        <f>188916099+9646577</f>
        <v>198562676</v>
      </c>
      <c r="O45" s="98">
        <v>18000000</v>
      </c>
      <c r="P45" s="98">
        <v>61901781</v>
      </c>
      <c r="Q45" s="98">
        <v>56972638</v>
      </c>
      <c r="R45" s="98">
        <v>88192883</v>
      </c>
      <c r="S45" s="98">
        <v>11760653</v>
      </c>
      <c r="T45" s="98">
        <v>0</v>
      </c>
      <c r="U45" s="98">
        <v>0</v>
      </c>
      <c r="V45" s="98">
        <v>0</v>
      </c>
      <c r="W45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435390631</v>
      </c>
      <c r="X45" s="97">
        <f>+X44+Tabla10[[#This Row],[No.]]</f>
        <v>18455558441.049999</v>
      </c>
    </row>
    <row r="46" spans="1:24" s="25" customFormat="1" ht="15" x14ac:dyDescent="0.2">
      <c r="A46" s="92">
        <v>45</v>
      </c>
      <c r="B46" s="95">
        <v>44134</v>
      </c>
      <c r="C46" s="91">
        <f>36+1</f>
        <v>37</v>
      </c>
      <c r="D46" s="91">
        <v>0</v>
      </c>
      <c r="E46" s="91">
        <v>7</v>
      </c>
      <c r="F46" s="91">
        <v>1</v>
      </c>
      <c r="G46" s="91">
        <v>13</v>
      </c>
      <c r="H46" s="91">
        <v>0</v>
      </c>
      <c r="I46" s="91">
        <v>0</v>
      </c>
      <c r="J46" s="91">
        <v>0</v>
      </c>
      <c r="K46" s="91">
        <v>0</v>
      </c>
      <c r="L46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58</v>
      </c>
      <c r="M46" s="94">
        <f t="shared" si="1"/>
        <v>3135</v>
      </c>
      <c r="N46" s="98">
        <f>158790073+4222956</f>
        <v>163013029</v>
      </c>
      <c r="O46" s="98">
        <v>0</v>
      </c>
      <c r="P46" s="98">
        <v>54539162</v>
      </c>
      <c r="Q46" s="98">
        <v>21035456</v>
      </c>
      <c r="R46" s="98">
        <v>44455064</v>
      </c>
      <c r="S46" s="98">
        <v>0</v>
      </c>
      <c r="T46" s="98">
        <v>0</v>
      </c>
      <c r="U46" s="98">
        <v>0</v>
      </c>
      <c r="V46" s="98">
        <v>0</v>
      </c>
      <c r="W46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283042711</v>
      </c>
      <c r="X46" s="97">
        <f>+X45+Tabla10[[#This Row],[No.]]</f>
        <v>18738601152.049999</v>
      </c>
    </row>
    <row r="47" spans="1:24" s="25" customFormat="1" ht="15" x14ac:dyDescent="0.2">
      <c r="A47" s="92">
        <v>46</v>
      </c>
      <c r="B47" s="95">
        <v>44141</v>
      </c>
      <c r="C47" s="91">
        <v>20</v>
      </c>
      <c r="D47" s="91">
        <v>0</v>
      </c>
      <c r="E47" s="91">
        <v>4</v>
      </c>
      <c r="F47" s="91">
        <v>2</v>
      </c>
      <c r="G47" s="91">
        <v>9</v>
      </c>
      <c r="H47" s="91">
        <v>0</v>
      </c>
      <c r="I47" s="91">
        <v>0</v>
      </c>
      <c r="J47" s="91">
        <v>0</v>
      </c>
      <c r="K47" s="91">
        <v>0</v>
      </c>
      <c r="L47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35</v>
      </c>
      <c r="M47" s="94">
        <f t="shared" si="1"/>
        <v>3170</v>
      </c>
      <c r="N47" s="98">
        <v>147838647</v>
      </c>
      <c r="O47" s="98">
        <v>0</v>
      </c>
      <c r="P47" s="98">
        <v>22285532</v>
      </c>
      <c r="Q47" s="98">
        <v>29999701</v>
      </c>
      <c r="R47" s="98">
        <v>32664417</v>
      </c>
      <c r="S47" s="98">
        <v>0</v>
      </c>
      <c r="T47" s="98">
        <v>0</v>
      </c>
      <c r="U47" s="98">
        <v>0</v>
      </c>
      <c r="V47" s="98">
        <v>0</v>
      </c>
      <c r="W47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232788297</v>
      </c>
      <c r="X47" s="97">
        <f>+X46+Tabla10[[#This Row],[No.]]</f>
        <v>18971389449.049999</v>
      </c>
    </row>
    <row r="48" spans="1:24" s="76" customFormat="1" ht="15" x14ac:dyDescent="0.2">
      <c r="A48" s="92">
        <v>47</v>
      </c>
      <c r="B48" s="95">
        <v>44148</v>
      </c>
      <c r="C48" s="91">
        <f>19+1</f>
        <v>20</v>
      </c>
      <c r="D48" s="91">
        <v>2</v>
      </c>
      <c r="E48" s="91">
        <v>1</v>
      </c>
      <c r="F48" s="91">
        <v>0</v>
      </c>
      <c r="G48" s="91">
        <v>21</v>
      </c>
      <c r="H48" s="91">
        <v>0</v>
      </c>
      <c r="I48" s="91">
        <v>0</v>
      </c>
      <c r="J48" s="91">
        <v>0</v>
      </c>
      <c r="K48" s="91">
        <v>0</v>
      </c>
      <c r="L48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44</v>
      </c>
      <c r="M48" s="94">
        <f t="shared" si="1"/>
        <v>3214</v>
      </c>
      <c r="N48" s="98">
        <f>127395078+7383601</f>
        <v>134778679</v>
      </c>
      <c r="O48" s="98">
        <v>25314000</v>
      </c>
      <c r="P48" s="98">
        <v>7064896</v>
      </c>
      <c r="Q48" s="98">
        <v>0</v>
      </c>
      <c r="R48" s="98">
        <v>78850722</v>
      </c>
      <c r="S48" s="98">
        <v>0</v>
      </c>
      <c r="T48" s="98">
        <v>0</v>
      </c>
      <c r="U48" s="98">
        <v>0</v>
      </c>
      <c r="V48" s="98">
        <v>0</v>
      </c>
      <c r="W48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246008297</v>
      </c>
      <c r="X48" s="97">
        <f>+X47+Tabla10[[#This Row],[No.]]</f>
        <v>19217397746.049999</v>
      </c>
    </row>
    <row r="49" spans="1:24" ht="15" x14ac:dyDescent="0.2">
      <c r="A49" s="92">
        <v>48</v>
      </c>
      <c r="B49" s="95">
        <v>44155</v>
      </c>
      <c r="C49" s="91">
        <v>11</v>
      </c>
      <c r="D49" s="91">
        <v>0</v>
      </c>
      <c r="E49" s="91">
        <v>5</v>
      </c>
      <c r="F49" s="91">
        <v>0</v>
      </c>
      <c r="G49" s="91">
        <v>9</v>
      </c>
      <c r="H49" s="91">
        <v>0</v>
      </c>
      <c r="I49" s="91">
        <v>0</v>
      </c>
      <c r="J49" s="91">
        <v>0</v>
      </c>
      <c r="K49" s="91">
        <v>0</v>
      </c>
      <c r="L49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25</v>
      </c>
      <c r="M49" s="94">
        <f>M48+L49</f>
        <v>3239</v>
      </c>
      <c r="N49" s="98">
        <v>74681968</v>
      </c>
      <c r="O49" s="98">
        <v>0</v>
      </c>
      <c r="P49" s="98">
        <v>43460202</v>
      </c>
      <c r="Q49" s="98">
        <v>0</v>
      </c>
      <c r="R49" s="98">
        <v>33097643</v>
      </c>
      <c r="S49" s="98">
        <v>0</v>
      </c>
      <c r="T49" s="98">
        <v>0</v>
      </c>
      <c r="U49" s="98">
        <v>0</v>
      </c>
      <c r="V49" s="98">
        <v>0</v>
      </c>
      <c r="W49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151239813</v>
      </c>
      <c r="X49" s="97">
        <f>+X48+Tabla10[[#This Row],[No.]]</f>
        <v>19368637559.049999</v>
      </c>
    </row>
    <row r="50" spans="1:24" ht="15" x14ac:dyDescent="0.2">
      <c r="A50" s="92">
        <v>49</v>
      </c>
      <c r="B50" s="95">
        <v>44162</v>
      </c>
      <c r="C50" s="91">
        <f>35+3</f>
        <v>38</v>
      </c>
      <c r="D50" s="91">
        <v>0</v>
      </c>
      <c r="E50" s="91">
        <v>5</v>
      </c>
      <c r="F50" s="91">
        <v>0</v>
      </c>
      <c r="G50" s="91">
        <v>21</v>
      </c>
      <c r="H50" s="91">
        <v>0</v>
      </c>
      <c r="I50" s="91">
        <v>1</v>
      </c>
      <c r="J50" s="91">
        <v>0</v>
      </c>
      <c r="K50" s="91">
        <v>0</v>
      </c>
      <c r="L50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65</v>
      </c>
      <c r="M50" s="94">
        <f t="shared" si="1"/>
        <v>3304</v>
      </c>
      <c r="N50" s="98">
        <f>229966146+25069703</f>
        <v>255035849</v>
      </c>
      <c r="O50" s="98">
        <v>0</v>
      </c>
      <c r="P50" s="98">
        <v>61346343</v>
      </c>
      <c r="Q50" s="98">
        <v>0</v>
      </c>
      <c r="R50" s="98">
        <v>123027109</v>
      </c>
      <c r="S50" s="98">
        <v>0</v>
      </c>
      <c r="T50" s="98">
        <v>5291700</v>
      </c>
      <c r="U50" s="98">
        <v>0</v>
      </c>
      <c r="V50" s="98">
        <v>0</v>
      </c>
      <c r="W50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444701001</v>
      </c>
      <c r="X50" s="97">
        <f>+X49+Tabla10[[#This Row],[No.]]</f>
        <v>19813338560.049999</v>
      </c>
    </row>
    <row r="51" spans="1:24" s="24" customFormat="1" ht="15" x14ac:dyDescent="0.2">
      <c r="A51" s="92">
        <v>50</v>
      </c>
      <c r="B51" s="95">
        <v>44169</v>
      </c>
      <c r="C51" s="91">
        <v>18</v>
      </c>
      <c r="D51" s="91">
        <v>1</v>
      </c>
      <c r="E51" s="91">
        <v>0</v>
      </c>
      <c r="F51" s="91">
        <v>1</v>
      </c>
      <c r="G51" s="91">
        <v>14</v>
      </c>
      <c r="H51" s="91">
        <v>0</v>
      </c>
      <c r="I51" s="91">
        <v>0</v>
      </c>
      <c r="J51" s="91">
        <v>0</v>
      </c>
      <c r="K51" s="91">
        <v>0</v>
      </c>
      <c r="L51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34</v>
      </c>
      <c r="M51" s="94">
        <f t="shared" si="1"/>
        <v>3338</v>
      </c>
      <c r="N51" s="98">
        <v>148453107</v>
      </c>
      <c r="O51" s="98">
        <v>17969000</v>
      </c>
      <c r="P51" s="98">
        <v>0</v>
      </c>
      <c r="Q51" s="98">
        <v>7200000</v>
      </c>
      <c r="R51" s="98">
        <v>60170065</v>
      </c>
      <c r="S51" s="98">
        <v>0</v>
      </c>
      <c r="T51" s="98">
        <v>0</v>
      </c>
      <c r="U51" s="98">
        <v>0</v>
      </c>
      <c r="V51" s="98">
        <v>0</v>
      </c>
      <c r="W51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233792172</v>
      </c>
      <c r="X51" s="97">
        <f>+X50+Tabla10[[#This Row],[No.]]</f>
        <v>20047130732.049999</v>
      </c>
    </row>
    <row r="52" spans="1:24" ht="15" x14ac:dyDescent="0.2">
      <c r="A52" s="92">
        <v>51</v>
      </c>
      <c r="B52" s="95">
        <v>44182</v>
      </c>
      <c r="C52" s="91">
        <v>30</v>
      </c>
      <c r="D52" s="91">
        <v>0</v>
      </c>
      <c r="E52" s="91">
        <v>3</v>
      </c>
      <c r="F52" s="91">
        <v>6</v>
      </c>
      <c r="G52" s="91">
        <v>18</v>
      </c>
      <c r="H52" s="91">
        <v>0</v>
      </c>
      <c r="I52" s="91">
        <v>1</v>
      </c>
      <c r="J52" s="91">
        <v>0</v>
      </c>
      <c r="K52" s="91">
        <v>0</v>
      </c>
      <c r="L52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58</v>
      </c>
      <c r="M52" s="94">
        <f t="shared" si="1"/>
        <v>3396</v>
      </c>
      <c r="N52" s="98">
        <v>179693486</v>
      </c>
      <c r="O52" s="98">
        <v>0</v>
      </c>
      <c r="P52" s="98">
        <v>9394895</v>
      </c>
      <c r="Q52" s="98">
        <v>83543230</v>
      </c>
      <c r="R52" s="98">
        <v>65967003</v>
      </c>
      <c r="S52" s="98">
        <v>0</v>
      </c>
      <c r="T52" s="98">
        <v>683000</v>
      </c>
      <c r="U52" s="98">
        <v>0</v>
      </c>
      <c r="V52" s="98">
        <v>0</v>
      </c>
      <c r="W52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339281614</v>
      </c>
      <c r="X52" s="97">
        <f>+X51+Tabla10[[#This Row],[No.]]</f>
        <v>20386412346.049999</v>
      </c>
    </row>
    <row r="53" spans="1:24" ht="15" x14ac:dyDescent="0.2">
      <c r="A53" s="92">
        <v>52</v>
      </c>
      <c r="B53" s="96"/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4">
        <f>SUM(Tabla9[[#This Row],[Preg. C.R.]]+Tabla9[[#This Row],[Preg. Ext.]]+Tabla9[[#This Row],[Posg. C.R.]]+Tabla9[[#This Row],[Posg. Ext.]]+Tabla9[[#This Row],[Amp Pre CR]]+Tabla9[[#This Row],[Amp Pre Ext]]+Tabla9[[#This Row],[Amp Pos CR]]+Tabla9[[#This Row],[Amp Pos Ext]]+Tabla9[[#This Row],[Fondo Aval]])</f>
        <v>0</v>
      </c>
      <c r="M53" s="94">
        <f t="shared" si="1"/>
        <v>3396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8">
        <v>0</v>
      </c>
      <c r="W53" s="97">
        <f>Tabla10[[#This Row],[Preg. C.R.]]+Tabla10[[#This Row],[Preg. Ext.]]+Tabla10[[#This Row],[Posg. C.R.]]+Tabla10[[#This Row],[Posg. Ext.]]+Tabla10[[#This Row],[Amp Pre CR]]+Tabla10[[#This Row],[Amp Pre Ext]]+Tabla10[[#This Row],[Amp Pos CR]]+Tabla10[[#This Row],[Amp Pos Ext]]+Tabla10[[#This Row],[Fondo Aval]]</f>
        <v>0</v>
      </c>
      <c r="X53" s="97">
        <f>+X52+Tabla10[[#This Row],[No.]]</f>
        <v>20386412346.049999</v>
      </c>
    </row>
    <row r="54" spans="1:24" s="88" customFormat="1" ht="18" x14ac:dyDescent="0.25">
      <c r="A54" s="92" t="s">
        <v>26</v>
      </c>
      <c r="B54" s="92" t="s">
        <v>98</v>
      </c>
      <c r="C54" s="93">
        <f>SUBTOTAL(109,Tabla9[Preg. C.R.])</f>
        <v>2127</v>
      </c>
      <c r="D54" s="93">
        <f>SUBTOTAL(109,Tabla9[Preg. Ext.])</f>
        <v>21</v>
      </c>
      <c r="E54" s="93">
        <f>SUBTOTAL(109,Tabla9[Posg. C.R.])</f>
        <v>155</v>
      </c>
      <c r="F54" s="93">
        <f>SUBTOTAL(109,Tabla9[Posg. Ext.])</f>
        <v>68</v>
      </c>
      <c r="G54" s="93">
        <f>SUBTOTAL(109,Tabla9[Amp Pre CR])</f>
        <v>881</v>
      </c>
      <c r="H54" s="93">
        <f>SUBTOTAL(109,Tabla9[Amp Pre Ext])</f>
        <v>1</v>
      </c>
      <c r="I54" s="93">
        <f>SUBTOTAL(109,Tabla9[Amp Pos CR])</f>
        <v>13</v>
      </c>
      <c r="J54" s="93">
        <f>SUBTOTAL(109,Tabla9[Amp Pos Ext])</f>
        <v>3</v>
      </c>
      <c r="K54" s="93">
        <f>SUBTOTAL(109,Tabla9[Fondo Aval])</f>
        <v>127</v>
      </c>
      <c r="L54" s="94">
        <f>SUM(L2:L53)</f>
        <v>3396</v>
      </c>
      <c r="M54" s="94">
        <f>+L54</f>
        <v>3396</v>
      </c>
      <c r="N54" s="100">
        <f>SUM(Tabla10[Preg. C.R.])</f>
        <v>13524047407</v>
      </c>
      <c r="O54" s="100">
        <f>SUM(Tabla10[Preg. Ext.])</f>
        <v>348436995</v>
      </c>
      <c r="P54" s="100">
        <f>SUM(Tabla10[Posg. C.R.])</f>
        <v>886740122</v>
      </c>
      <c r="Q54" s="100">
        <f>SUM(Tabla10[Posg. Ext.])</f>
        <v>977413410</v>
      </c>
      <c r="R54" s="100">
        <f>SUM(Tabla10[Amp Pre CR])</f>
        <v>3412095381.0500002</v>
      </c>
      <c r="S54" s="100">
        <f>SUM(Tabla10[Amp Pre Ext])</f>
        <v>11760653</v>
      </c>
      <c r="T54" s="100">
        <f>SUM(Tabla10[Amp Pos CR])</f>
        <v>21322214</v>
      </c>
      <c r="U54" s="100">
        <f>SUM(Tabla10[Amp Pos Ext])</f>
        <v>15462362</v>
      </c>
      <c r="V54" s="100">
        <f>SUM(Tabla10[Fondo Aval])</f>
        <v>1189133802</v>
      </c>
      <c r="W54" s="97">
        <f>SUM(W2:W53)</f>
        <v>20386412346.049999</v>
      </c>
      <c r="X54" s="97">
        <f>+W54</f>
        <v>20386412346.049999</v>
      </c>
    </row>
    <row r="59" spans="1:24" ht="116.25" customHeight="1" x14ac:dyDescent="0.2">
      <c r="A59" s="143" t="s">
        <v>118</v>
      </c>
      <c r="B59" s="151" t="s">
        <v>131</v>
      </c>
      <c r="C59" s="152"/>
      <c r="D59" s="152"/>
      <c r="E59" s="152"/>
      <c r="F59" s="152"/>
      <c r="G59" s="152"/>
      <c r="H59" s="152"/>
    </row>
    <row r="60" spans="1:24" ht="41.25" customHeight="1" x14ac:dyDescent="0.2">
      <c r="A60" s="138" t="s">
        <v>125</v>
      </c>
      <c r="B60" s="139" t="s">
        <v>119</v>
      </c>
      <c r="C60" s="140" t="s">
        <v>121</v>
      </c>
      <c r="D60" s="140" t="s">
        <v>122</v>
      </c>
      <c r="E60" s="139" t="s">
        <v>120</v>
      </c>
      <c r="F60" s="140" t="s">
        <v>123</v>
      </c>
      <c r="G60" s="140" t="s">
        <v>124</v>
      </c>
      <c r="H60" s="139" t="s">
        <v>120</v>
      </c>
    </row>
    <row r="61" spans="1:24" x14ac:dyDescent="0.2">
      <c r="A61" s="141" t="s">
        <v>126</v>
      </c>
      <c r="B61" s="101" t="s">
        <v>130</v>
      </c>
      <c r="C61" s="101">
        <v>7</v>
      </c>
      <c r="D61" s="101">
        <v>9</v>
      </c>
      <c r="E61" s="101">
        <f>+D61-C61</f>
        <v>2</v>
      </c>
      <c r="F61" s="142">
        <v>117648738</v>
      </c>
      <c r="G61" s="142">
        <v>133363238</v>
      </c>
      <c r="H61" s="142">
        <f>+G61-F61</f>
        <v>15714500</v>
      </c>
    </row>
    <row r="62" spans="1:24" x14ac:dyDescent="0.2">
      <c r="A62" s="141" t="s">
        <v>127</v>
      </c>
      <c r="B62" s="101" t="s">
        <v>130</v>
      </c>
      <c r="C62" s="101">
        <v>1</v>
      </c>
      <c r="D62" s="101">
        <v>2</v>
      </c>
      <c r="E62" s="101">
        <f>+D62-C62</f>
        <v>1</v>
      </c>
      <c r="F62" s="142">
        <v>17789085</v>
      </c>
      <c r="G62" s="142">
        <v>23634085</v>
      </c>
      <c r="H62" s="142">
        <f>+G62-F62</f>
        <v>5845000</v>
      </c>
    </row>
    <row r="63" spans="1:24" x14ac:dyDescent="0.2">
      <c r="A63" s="141" t="s">
        <v>128</v>
      </c>
      <c r="B63" s="101" t="s">
        <v>130</v>
      </c>
      <c r="C63" s="101">
        <v>2</v>
      </c>
      <c r="D63" s="101">
        <v>3</v>
      </c>
      <c r="E63" s="101">
        <f>+D63-C63</f>
        <v>1</v>
      </c>
      <c r="F63" s="142">
        <v>15435163</v>
      </c>
      <c r="G63" s="142">
        <v>26493663</v>
      </c>
      <c r="H63" s="142">
        <f>+G63-F63</f>
        <v>11058500</v>
      </c>
    </row>
    <row r="64" spans="1:24" x14ac:dyDescent="0.2">
      <c r="A64" s="141" t="s">
        <v>129</v>
      </c>
      <c r="B64" s="101" t="s">
        <v>130</v>
      </c>
      <c r="C64" s="101">
        <v>2</v>
      </c>
      <c r="D64" s="101">
        <v>3</v>
      </c>
      <c r="E64" s="101">
        <f>+D64-C64</f>
        <v>1</v>
      </c>
      <c r="F64" s="142">
        <v>31946931</v>
      </c>
      <c r="G64" s="142">
        <v>40279381</v>
      </c>
      <c r="H64" s="142">
        <f>+G64-F64</f>
        <v>8332450</v>
      </c>
    </row>
    <row r="65" spans="1:8" x14ac:dyDescent="0.2">
      <c r="A65" s="153" t="s">
        <v>98</v>
      </c>
      <c r="B65" s="154"/>
      <c r="C65" s="154"/>
      <c r="D65" s="155"/>
      <c r="E65" s="101">
        <f>SUM(E61:E64)</f>
        <v>5</v>
      </c>
      <c r="F65" s="156"/>
      <c r="G65" s="157"/>
      <c r="H65" s="142">
        <f>SUM(H61:H64)</f>
        <v>40950450</v>
      </c>
    </row>
    <row r="69" spans="1:8" ht="118.15" customHeight="1" x14ac:dyDescent="0.2">
      <c r="A69" s="143" t="s">
        <v>118</v>
      </c>
      <c r="B69" s="151" t="s">
        <v>132</v>
      </c>
      <c r="C69" s="151"/>
      <c r="D69" s="151"/>
      <c r="E69" s="151"/>
      <c r="F69" s="151"/>
      <c r="G69" s="151"/>
      <c r="H69" s="151"/>
    </row>
    <row r="70" spans="1:8" ht="25.5" x14ac:dyDescent="0.2">
      <c r="A70" s="144" t="s">
        <v>125</v>
      </c>
      <c r="B70" s="139" t="s">
        <v>119</v>
      </c>
      <c r="C70" s="140" t="s">
        <v>121</v>
      </c>
      <c r="D70" s="140" t="s">
        <v>122</v>
      </c>
      <c r="E70" s="139" t="s">
        <v>120</v>
      </c>
      <c r="F70" s="140" t="s">
        <v>123</v>
      </c>
      <c r="G70" s="140" t="s">
        <v>124</v>
      </c>
      <c r="H70" s="139" t="s">
        <v>120</v>
      </c>
    </row>
    <row r="71" spans="1:8" x14ac:dyDescent="0.2">
      <c r="A71" s="141" t="s">
        <v>133</v>
      </c>
      <c r="B71" s="101" t="s">
        <v>130</v>
      </c>
      <c r="C71" s="101">
        <v>10</v>
      </c>
      <c r="D71" s="101">
        <v>11</v>
      </c>
      <c r="E71" s="101">
        <f>+D71-C71</f>
        <v>1</v>
      </c>
      <c r="F71" s="142">
        <v>81792600</v>
      </c>
      <c r="G71" s="142">
        <f>+F71+13997960</f>
        <v>95790560</v>
      </c>
      <c r="H71" s="142">
        <f>+G71-F71</f>
        <v>13997960</v>
      </c>
    </row>
    <row r="72" spans="1:8" x14ac:dyDescent="0.2">
      <c r="A72" s="153" t="s">
        <v>98</v>
      </c>
      <c r="B72" s="154"/>
      <c r="C72" s="154"/>
      <c r="D72" s="155"/>
      <c r="E72" s="101">
        <f>SUM(E71:E71)</f>
        <v>1</v>
      </c>
      <c r="F72" s="156"/>
      <c r="G72" s="157"/>
      <c r="H72" s="142">
        <f>SUM(H71:H71)</f>
        <v>13997960</v>
      </c>
    </row>
  </sheetData>
  <mergeCells count="6">
    <mergeCell ref="B59:H59"/>
    <mergeCell ref="A65:D65"/>
    <mergeCell ref="F65:G65"/>
    <mergeCell ref="B69:H69"/>
    <mergeCell ref="A72:D72"/>
    <mergeCell ref="F72:G72"/>
  </mergeCells>
  <dataValidations count="1">
    <dataValidation type="whole" operator="greaterThanOrEqual" allowBlank="1" showInputMessage="1" showErrorMessage="1" sqref="D2:K2" xr:uid="{00000000-0002-0000-0000-000000000000}">
      <formula1>0</formula1>
    </dataValidation>
  </dataValidations>
  <pageMargins left="0.7" right="0.7" top="0.75" bottom="0.75" header="0.3" footer="0.3"/>
  <pageSetup orientation="portrait" r:id="rId1"/>
  <ignoredErrors>
    <ignoredError sqref="L2" calculatedColumn="1"/>
  </ignoredErrors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I86"/>
  <sheetViews>
    <sheetView topLeftCell="A10" workbookViewId="0">
      <selection activeCell="AG38" sqref="AG38"/>
    </sheetView>
  </sheetViews>
  <sheetFormatPr baseColWidth="10" defaultColWidth="11.42578125" defaultRowHeight="12.75" x14ac:dyDescent="0.2"/>
  <cols>
    <col min="1" max="1" width="13.7109375" style="5" bestFit="1" customWidth="1"/>
    <col min="2" max="3" width="7.5703125" style="5" hidden="1" customWidth="1"/>
    <col min="4" max="7" width="7.7109375" style="5" hidden="1" customWidth="1"/>
    <col min="8" max="10" width="7.28515625" style="5" hidden="1" customWidth="1"/>
    <col min="11" max="11" width="8.85546875" style="5" hidden="1" customWidth="1"/>
    <col min="12" max="12" width="10.42578125" style="5" hidden="1" customWidth="1"/>
    <col min="13" max="13" width="10.5703125" style="5" customWidth="1"/>
    <col min="14" max="14" width="12.85546875" style="5" customWidth="1"/>
    <col min="15" max="15" width="10.28515625" style="5" customWidth="1"/>
    <col min="16" max="16" width="13.28515625" style="5" customWidth="1"/>
    <col min="17" max="17" width="19" style="5" customWidth="1"/>
    <col min="18" max="18" width="7.28515625" style="5" customWidth="1"/>
    <col min="19" max="19" width="18.28515625" style="5" bestFit="1" customWidth="1"/>
    <col min="20" max="20" width="7.42578125" style="5" hidden="1" customWidth="1"/>
    <col min="21" max="21" width="7.42578125" style="23" hidden="1" customWidth="1"/>
    <col min="22" max="23" width="7.5703125" style="5" hidden="1" customWidth="1"/>
    <col min="24" max="25" width="7.28515625" style="5" hidden="1" customWidth="1"/>
    <col min="26" max="26" width="9.140625" style="5" hidden="1" customWidth="1"/>
    <col min="27" max="28" width="7.28515625" style="5" hidden="1" customWidth="1"/>
    <col min="29" max="29" width="9.140625" style="5" hidden="1" customWidth="1"/>
    <col min="30" max="30" width="10.85546875" style="5" hidden="1" customWidth="1"/>
    <col min="31" max="32" width="10.5703125" style="5" customWidth="1"/>
    <col min="33" max="33" width="11.5703125" style="5" customWidth="1"/>
    <col min="34" max="34" width="16.85546875" style="5" customWidth="1"/>
    <col min="35" max="35" width="18.5703125" style="5" customWidth="1"/>
    <col min="36" max="16384" width="11.42578125" style="5"/>
  </cols>
  <sheetData>
    <row r="1" spans="1:35" ht="6.6" customHeight="1" x14ac:dyDescent="0.2"/>
    <row r="2" spans="1:35" ht="18" customHeight="1" x14ac:dyDescent="0.25">
      <c r="A2" s="159" t="s">
        <v>20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80"/>
      <c r="S2" s="159" t="s">
        <v>21</v>
      </c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x14ac:dyDescent="0.2">
      <c r="A3" s="158" t="s">
        <v>96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79"/>
      <c r="S3" s="158" t="s">
        <v>96</v>
      </c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5" x14ac:dyDescent="0.2">
      <c r="A4" s="85" t="s">
        <v>2</v>
      </c>
      <c r="B4" s="85" t="s">
        <v>14</v>
      </c>
      <c r="C4" s="85" t="s">
        <v>15</v>
      </c>
      <c r="D4" s="85" t="s">
        <v>16</v>
      </c>
      <c r="E4" s="85" t="s">
        <v>17</v>
      </c>
      <c r="F4" s="85" t="s">
        <v>18</v>
      </c>
      <c r="G4" s="85" t="s">
        <v>24</v>
      </c>
      <c r="H4" s="85" t="s">
        <v>25</v>
      </c>
      <c r="I4" s="85" t="s">
        <v>27</v>
      </c>
      <c r="J4" s="85" t="s">
        <v>36</v>
      </c>
      <c r="K4" s="85" t="s">
        <v>37</v>
      </c>
      <c r="L4" s="85" t="s">
        <v>38</v>
      </c>
      <c r="M4" s="85" t="s">
        <v>68</v>
      </c>
      <c r="N4" s="85" t="s">
        <v>71</v>
      </c>
      <c r="O4" s="85" t="s">
        <v>72</v>
      </c>
      <c r="P4" s="85" t="s">
        <v>73</v>
      </c>
      <c r="Q4" s="85" t="s">
        <v>97</v>
      </c>
      <c r="S4" s="85" t="s">
        <v>2</v>
      </c>
      <c r="T4" s="85" t="s">
        <v>14</v>
      </c>
      <c r="U4" s="85" t="s">
        <v>15</v>
      </c>
      <c r="V4" s="85" t="s">
        <v>16</v>
      </c>
      <c r="W4" s="85" t="s">
        <v>17</v>
      </c>
      <c r="X4" s="85" t="s">
        <v>18</v>
      </c>
      <c r="Y4" s="85" t="s">
        <v>24</v>
      </c>
      <c r="Z4" s="85" t="s">
        <v>25</v>
      </c>
      <c r="AA4" s="85" t="s">
        <v>27</v>
      </c>
      <c r="AB4" s="85" t="s">
        <v>36</v>
      </c>
      <c r="AC4" s="85" t="s">
        <v>37</v>
      </c>
      <c r="AD4" s="85" t="s">
        <v>38</v>
      </c>
      <c r="AE4" s="85" t="s">
        <v>68</v>
      </c>
      <c r="AF4" s="85" t="s">
        <v>71</v>
      </c>
      <c r="AG4" s="85" t="s">
        <v>72</v>
      </c>
      <c r="AH4" s="85" t="s">
        <v>73</v>
      </c>
      <c r="AI4" s="85" t="s">
        <v>97</v>
      </c>
    </row>
    <row r="5" spans="1:35" x14ac:dyDescent="0.2">
      <c r="A5" s="101" t="s">
        <v>1</v>
      </c>
      <c r="B5" s="101">
        <v>339</v>
      </c>
      <c r="C5" s="83">
        <v>538</v>
      </c>
      <c r="D5" s="83">
        <v>588</v>
      </c>
      <c r="E5" s="83">
        <v>795</v>
      </c>
      <c r="F5" s="83">
        <v>835</v>
      </c>
      <c r="G5" s="83">
        <v>706</v>
      </c>
      <c r="H5" s="83">
        <v>445</v>
      </c>
      <c r="I5" s="83">
        <v>1697</v>
      </c>
      <c r="J5" s="83">
        <v>689</v>
      </c>
      <c r="K5" s="83">
        <v>733</v>
      </c>
      <c r="L5" s="83">
        <v>419</v>
      </c>
      <c r="M5" s="101">
        <v>531</v>
      </c>
      <c r="N5" s="83">
        <v>751</v>
      </c>
      <c r="O5" s="83">
        <f>'[1]Detalle por sesión'!$H$4</f>
        <v>521</v>
      </c>
      <c r="P5" s="83">
        <v>559</v>
      </c>
      <c r="Q5" s="83">
        <f>'Detalle por sesión'!M7</f>
        <v>584</v>
      </c>
      <c r="S5" s="101" t="s">
        <v>1</v>
      </c>
      <c r="T5" s="83">
        <f>+Tabla3[[#This Row],[2005]]</f>
        <v>339</v>
      </c>
      <c r="U5" s="83">
        <f>+Tabla3[[#This Row],[2006]]</f>
        <v>538</v>
      </c>
      <c r="V5" s="83">
        <f>+Tabla3[[#This Row],[2007]]</f>
        <v>588</v>
      </c>
      <c r="W5" s="83">
        <f>+Tabla3[[#This Row],[2008]]</f>
        <v>795</v>
      </c>
      <c r="X5" s="83">
        <v>835</v>
      </c>
      <c r="Y5" s="83">
        <f>+Tabla3[[#This Row],[2010]]</f>
        <v>706</v>
      </c>
      <c r="Z5" s="83">
        <f>+Tabla3[[#This Row],[2011]]</f>
        <v>445</v>
      </c>
      <c r="AA5" s="83">
        <f>+Tabla3[[#This Row],[2012]]</f>
        <v>1697</v>
      </c>
      <c r="AB5" s="83">
        <f>+Tabla3[[#This Row],[2013]]</f>
        <v>689</v>
      </c>
      <c r="AC5" s="83">
        <v>733</v>
      </c>
      <c r="AD5" s="83">
        <f>+Tabla3[[#This Row],[2015]]</f>
        <v>419</v>
      </c>
      <c r="AE5" s="83">
        <f>+Tabla3[[#This Row],[2016]]</f>
        <v>531</v>
      </c>
      <c r="AF5" s="83">
        <f>+Tabla3[[#This Row],[2017]]</f>
        <v>751</v>
      </c>
      <c r="AG5" s="83">
        <v>521</v>
      </c>
      <c r="AH5" s="83">
        <f>+Tabla3[[#This Row],[2019]]</f>
        <v>559</v>
      </c>
      <c r="AI5" s="83">
        <f>Tabla3[[#This Row],[2020]]</f>
        <v>584</v>
      </c>
    </row>
    <row r="6" spans="1:35" x14ac:dyDescent="0.2">
      <c r="A6" s="101" t="s">
        <v>3</v>
      </c>
      <c r="B6" s="101">
        <v>697</v>
      </c>
      <c r="C6" s="83">
        <v>949</v>
      </c>
      <c r="D6" s="83">
        <v>1010</v>
      </c>
      <c r="E6" s="83">
        <v>1312</v>
      </c>
      <c r="F6" s="83">
        <v>1611</v>
      </c>
      <c r="G6" s="83">
        <v>1802</v>
      </c>
      <c r="H6" s="83">
        <v>897</v>
      </c>
      <c r="I6" s="83">
        <v>2552</v>
      </c>
      <c r="J6" s="83">
        <v>1233</v>
      </c>
      <c r="K6" s="83">
        <v>1252</v>
      </c>
      <c r="L6" s="83">
        <v>948</v>
      </c>
      <c r="M6" s="101">
        <v>1258</v>
      </c>
      <c r="N6" s="83">
        <v>1212</v>
      </c>
      <c r="O6" s="83">
        <f>'[1]Detalle por sesión'!$H$8</f>
        <v>1087</v>
      </c>
      <c r="P6" s="83">
        <v>1125</v>
      </c>
      <c r="Q6" s="83">
        <f>'Detalle por sesión'!$M$12</f>
        <v>944</v>
      </c>
      <c r="S6" s="101" t="s">
        <v>3</v>
      </c>
      <c r="T6" s="83">
        <f>+Tabla3[[#This Row],[2005]]-B5</f>
        <v>358</v>
      </c>
      <c r="U6" s="83">
        <f>+Tabla3[[#This Row],[2006]]-U5</f>
        <v>411</v>
      </c>
      <c r="V6" s="83">
        <f>+Tabla3[[#This Row],[2007]]-V5</f>
        <v>422</v>
      </c>
      <c r="W6" s="83">
        <f>+Tabla3[[#This Row],[2008]]-W5</f>
        <v>517</v>
      </c>
      <c r="X6" s="83">
        <v>776</v>
      </c>
      <c r="Y6" s="83">
        <f>+Tabla3[[#This Row],[2010]]-G5</f>
        <v>1096</v>
      </c>
      <c r="Z6" s="83">
        <f>+Tabla3[[#This Row],[2011]]-H5</f>
        <v>452</v>
      </c>
      <c r="AA6" s="83">
        <f>+Tabla3[[#This Row],[2012]]-AA5</f>
        <v>855</v>
      </c>
      <c r="AB6" s="83">
        <f>+Tabla3[[#This Row],[2013]]-AB5</f>
        <v>544</v>
      </c>
      <c r="AC6" s="83">
        <v>519</v>
      </c>
      <c r="AD6" s="83">
        <f>+Tabla3[[#This Row],[2015]]-L5</f>
        <v>529</v>
      </c>
      <c r="AE6" s="83">
        <f>+Tabla3[[#This Row],[2016]]-AE5</f>
        <v>727</v>
      </c>
      <c r="AF6" s="83">
        <f>Tabla3[[#This Row],[2017]]-AF5</f>
        <v>461</v>
      </c>
      <c r="AG6" s="83">
        <v>566</v>
      </c>
      <c r="AH6" s="83">
        <f>+Tabla3[[#This Row],[2019]]-AH5</f>
        <v>566</v>
      </c>
      <c r="AI6" s="83">
        <f>Tabla3[[#This Row],[2020]]-$AI$5</f>
        <v>360</v>
      </c>
    </row>
    <row r="7" spans="1:35" x14ac:dyDescent="0.2">
      <c r="A7" s="101" t="s">
        <v>4</v>
      </c>
      <c r="B7" s="101">
        <v>1059</v>
      </c>
      <c r="C7" s="83">
        <v>1353</v>
      </c>
      <c r="D7" s="83">
        <v>1382</v>
      </c>
      <c r="E7" s="83">
        <v>1677</v>
      </c>
      <c r="F7" s="83">
        <v>2312</v>
      </c>
      <c r="G7" s="83">
        <v>2727</v>
      </c>
      <c r="H7" s="83">
        <v>1757</v>
      </c>
      <c r="I7" s="83">
        <v>2594</v>
      </c>
      <c r="J7" s="83">
        <v>1580</v>
      </c>
      <c r="K7" s="83">
        <v>1780</v>
      </c>
      <c r="L7" s="83">
        <v>1549</v>
      </c>
      <c r="M7" s="101">
        <v>1575</v>
      </c>
      <c r="N7" s="83">
        <v>1769</v>
      </c>
      <c r="O7" s="83">
        <f>'[1]Detalle por sesión'!$H$11</f>
        <v>1467</v>
      </c>
      <c r="P7" s="83">
        <v>1538</v>
      </c>
      <c r="Q7" s="83">
        <f>'Detalle por sesión'!$M$17</f>
        <v>1379</v>
      </c>
      <c r="S7" s="101" t="s">
        <v>4</v>
      </c>
      <c r="T7" s="83">
        <f>+Tabla3[[#This Row],[2005]]-B6</f>
        <v>362</v>
      </c>
      <c r="U7" s="83">
        <f>+Tabla3[[#This Row],[2006]]-C6</f>
        <v>404</v>
      </c>
      <c r="V7" s="83">
        <f>+Tabla3[[#This Row],[2007]]-D6</f>
        <v>372</v>
      </c>
      <c r="W7" s="83">
        <f>+Tabla3[[#This Row],[2008]]-E6</f>
        <v>365</v>
      </c>
      <c r="X7" s="83">
        <v>701</v>
      </c>
      <c r="Y7" s="83">
        <f>+Tabla3[[#This Row],[2010]]-G6</f>
        <v>925</v>
      </c>
      <c r="Z7" s="83">
        <f>+Tabla3[[#This Row],[2011]]-H6</f>
        <v>860</v>
      </c>
      <c r="AA7" s="83">
        <f>+Tabla3[[#This Row],[2012]]-I6</f>
        <v>42</v>
      </c>
      <c r="AB7" s="83">
        <f>+Tabla3[[#This Row],[2013]]-J6</f>
        <v>347</v>
      </c>
      <c r="AC7" s="83">
        <v>528</v>
      </c>
      <c r="AD7" s="83">
        <f>+Tabla3[[#This Row],[2015]]-L6</f>
        <v>601</v>
      </c>
      <c r="AE7" s="83">
        <f>+Tabla3[[#This Row],[2016]]-AE5-AE6</f>
        <v>317</v>
      </c>
      <c r="AF7" s="83">
        <f>Tabla3[[#This Row],[2017]]-AF6-AF5</f>
        <v>557</v>
      </c>
      <c r="AG7" s="83">
        <v>380</v>
      </c>
      <c r="AH7" s="83">
        <f>+Tabla3[[#This Row],[2019]]-AH6-AH5</f>
        <v>413</v>
      </c>
      <c r="AI7" s="83">
        <f>Tabla3[[#This Row],[2020]]-$AI$6-$AI$5</f>
        <v>435</v>
      </c>
    </row>
    <row r="8" spans="1:35" x14ac:dyDescent="0.2">
      <c r="A8" s="101" t="s">
        <v>5</v>
      </c>
      <c r="B8" s="101">
        <v>1356</v>
      </c>
      <c r="C8" s="83">
        <v>1547</v>
      </c>
      <c r="D8" s="83">
        <v>1793</v>
      </c>
      <c r="E8" s="83">
        <v>2365</v>
      </c>
      <c r="F8" s="83">
        <v>2921</v>
      </c>
      <c r="G8" s="83">
        <v>3542</v>
      </c>
      <c r="H8" s="83">
        <v>2141</v>
      </c>
      <c r="I8" s="83">
        <v>2722</v>
      </c>
      <c r="J8" s="83">
        <v>2068</v>
      </c>
      <c r="K8" s="83">
        <v>2369</v>
      </c>
      <c r="L8" s="83">
        <v>2039</v>
      </c>
      <c r="M8" s="101">
        <v>1927</v>
      </c>
      <c r="N8" s="83">
        <v>2236</v>
      </c>
      <c r="O8" s="83">
        <f>'[1]Detalle por sesión'!$H$16</f>
        <v>2119</v>
      </c>
      <c r="P8" s="83">
        <v>2087</v>
      </c>
      <c r="Q8" s="83">
        <f>'Detalle por sesión'!$M$20</f>
        <v>1582</v>
      </c>
      <c r="S8" s="101" t="s">
        <v>5</v>
      </c>
      <c r="T8" s="83">
        <f>+Tabla3[[#This Row],[2005]]-B7</f>
        <v>297</v>
      </c>
      <c r="U8" s="83">
        <f>+Tabla3[[#This Row],[2006]]-C7</f>
        <v>194</v>
      </c>
      <c r="V8" s="83">
        <f>+Tabla3[[#This Row],[2007]]-D7</f>
        <v>411</v>
      </c>
      <c r="W8" s="83">
        <f>+Tabla3[[#This Row],[2008]]-E7</f>
        <v>688</v>
      </c>
      <c r="X8" s="83">
        <v>609</v>
      </c>
      <c r="Y8" s="83">
        <f>+Tabla3[[#This Row],[2010]]-G7</f>
        <v>815</v>
      </c>
      <c r="Z8" s="83">
        <f>+Tabla3[[#This Row],[2011]]-H7</f>
        <v>384</v>
      </c>
      <c r="AA8" s="83">
        <f>+Tabla3[[#This Row],[2012]]-I7</f>
        <v>128</v>
      </c>
      <c r="AB8" s="83">
        <f>+Tabla3[[#This Row],[2013]]-J7</f>
        <v>488</v>
      </c>
      <c r="AC8" s="83">
        <v>589</v>
      </c>
      <c r="AD8" s="83">
        <f>+Tabla3[[#This Row],[2015]]-L7</f>
        <v>490</v>
      </c>
      <c r="AE8" s="83">
        <f>+Tabla3[[#This Row],[2016]]-AE5-AE6-AE7</f>
        <v>352</v>
      </c>
      <c r="AF8" s="83">
        <f>Tabla3[[#This Row],[2017]]-AF7-AF6-AF5</f>
        <v>467</v>
      </c>
      <c r="AG8" s="83">
        <v>652</v>
      </c>
      <c r="AH8" s="83">
        <f>+Tabla3[[#This Row],[2019]]-AH7-AH6-AH5</f>
        <v>549</v>
      </c>
      <c r="AI8" s="83">
        <f>Tabla3[[#This Row],[2020]]-$AI$7-$AI$6-$AI$5</f>
        <v>203</v>
      </c>
    </row>
    <row r="9" spans="1:35" x14ac:dyDescent="0.2">
      <c r="A9" s="101" t="s">
        <v>6</v>
      </c>
      <c r="B9" s="101">
        <v>1892</v>
      </c>
      <c r="C9" s="83">
        <v>2058</v>
      </c>
      <c r="D9" s="83">
        <v>2348</v>
      </c>
      <c r="E9" s="83">
        <v>3095</v>
      </c>
      <c r="F9" s="83">
        <v>3464</v>
      </c>
      <c r="G9" s="83">
        <v>4424</v>
      </c>
      <c r="H9" s="83">
        <v>3331</v>
      </c>
      <c r="I9" s="83">
        <v>3394</v>
      </c>
      <c r="J9" s="83">
        <v>2667</v>
      </c>
      <c r="K9" s="83">
        <v>2990</v>
      </c>
      <c r="L9" s="83">
        <v>2602</v>
      </c>
      <c r="M9" s="102">
        <v>2800</v>
      </c>
      <c r="N9" s="83">
        <v>2803</v>
      </c>
      <c r="O9" s="83">
        <f>'[1]Detalle por sesión'!$H$17</f>
        <v>2304</v>
      </c>
      <c r="P9" s="83">
        <v>2378</v>
      </c>
      <c r="Q9" s="83">
        <f>'Detalle por sesión'!$M$24</f>
        <v>1799</v>
      </c>
      <c r="S9" s="101" t="s">
        <v>6</v>
      </c>
      <c r="T9" s="83">
        <f>+Tabla3[[#This Row],[2005]]-B8</f>
        <v>536</v>
      </c>
      <c r="U9" s="83">
        <f>+Tabla3[[#This Row],[2006]]-C8</f>
        <v>511</v>
      </c>
      <c r="V9" s="83">
        <f>+Tabla3[[#This Row],[2007]]-D8</f>
        <v>555</v>
      </c>
      <c r="W9" s="83">
        <f>+Tabla3[[#This Row],[2008]]-E8</f>
        <v>730</v>
      </c>
      <c r="X9" s="83">
        <v>543</v>
      </c>
      <c r="Y9" s="83">
        <f>+Tabla3[[#This Row],[2010]]-G8</f>
        <v>882</v>
      </c>
      <c r="Z9" s="83">
        <f>+Tabla3[[#This Row],[2011]]-H8</f>
        <v>1190</v>
      </c>
      <c r="AA9" s="83">
        <f>+Tabla3[[#This Row],[2012]]-I8</f>
        <v>672</v>
      </c>
      <c r="AB9" s="83">
        <f>+Tabla3[[#This Row],[2013]]-J8</f>
        <v>599</v>
      </c>
      <c r="AC9" s="83">
        <v>621</v>
      </c>
      <c r="AD9" s="83">
        <f>+Tabla3[[#This Row],[2015]]-L8</f>
        <v>563</v>
      </c>
      <c r="AE9" s="83">
        <f>+Tabla3[[#This Row],[2016]]-AE8-AE7-AE6-AE5</f>
        <v>873</v>
      </c>
      <c r="AF9" s="83">
        <f>Tabla3[[#This Row],[2017]]-AF8-AF7-AF6-AF5</f>
        <v>567</v>
      </c>
      <c r="AG9" s="83">
        <v>185</v>
      </c>
      <c r="AH9" s="83">
        <f>+Tabla3[[#This Row],[2019]]-AH8-AH7-AH6-AH5</f>
        <v>291</v>
      </c>
      <c r="AI9" s="83">
        <f>Tabla3[[#This Row],[2020]]-$AI$8-$AI$7-$AI$6-$AI$5</f>
        <v>217</v>
      </c>
    </row>
    <row r="10" spans="1:35" x14ac:dyDescent="0.2">
      <c r="A10" s="101" t="s">
        <v>7</v>
      </c>
      <c r="B10" s="101">
        <v>2129</v>
      </c>
      <c r="C10" s="83">
        <v>2306</v>
      </c>
      <c r="D10" s="83">
        <v>2659</v>
      </c>
      <c r="E10" s="83">
        <v>3465</v>
      </c>
      <c r="F10" s="83">
        <v>4529</v>
      </c>
      <c r="G10" s="83">
        <v>5200</v>
      </c>
      <c r="H10" s="83">
        <v>4245</v>
      </c>
      <c r="I10" s="83">
        <v>3942</v>
      </c>
      <c r="J10" s="83">
        <v>3305</v>
      </c>
      <c r="K10" s="83">
        <v>3265</v>
      </c>
      <c r="L10" s="83">
        <v>3285</v>
      </c>
      <c r="M10" s="101">
        <v>3267</v>
      </c>
      <c r="N10" s="83">
        <v>3429</v>
      </c>
      <c r="O10" s="83">
        <f>'[1]Detalle por sesión'!$H$21</f>
        <v>3166</v>
      </c>
      <c r="P10" s="83">
        <v>2587</v>
      </c>
      <c r="Q10" s="83">
        <f>'Detalle por sesión'!$M$28</f>
        <v>2000</v>
      </c>
      <c r="S10" s="101" t="s">
        <v>7</v>
      </c>
      <c r="T10" s="83">
        <f>+Tabla3[[#This Row],[2005]]-B9</f>
        <v>237</v>
      </c>
      <c r="U10" s="83">
        <f>+Tabla3[[#This Row],[2006]]-C9</f>
        <v>248</v>
      </c>
      <c r="V10" s="83">
        <f>+Tabla3[[#This Row],[2007]]-D9</f>
        <v>311</v>
      </c>
      <c r="W10" s="83">
        <f>+Tabla3[[#This Row],[2008]]-E9</f>
        <v>370</v>
      </c>
      <c r="X10" s="83">
        <v>1065</v>
      </c>
      <c r="Y10" s="83">
        <f>+Tabla3[[#This Row],[2010]]-G9</f>
        <v>776</v>
      </c>
      <c r="Z10" s="83">
        <f>+Tabla3[[#This Row],[2011]]-H9</f>
        <v>914</v>
      </c>
      <c r="AA10" s="83">
        <f>+Tabla3[[#This Row],[2012]]-I9</f>
        <v>548</v>
      </c>
      <c r="AB10" s="83">
        <f>+Tabla3[[#This Row],[2013]]-J9</f>
        <v>638</v>
      </c>
      <c r="AC10" s="83">
        <v>275</v>
      </c>
      <c r="AD10" s="83">
        <f>+Tabla3[[#This Row],[2015]]-L9</f>
        <v>683</v>
      </c>
      <c r="AE10" s="83">
        <f>+Tabla3[[#This Row],[2016]]-AE9-AE8-AE7-AE6-AE5</f>
        <v>467</v>
      </c>
      <c r="AF10" s="83">
        <f>Tabla3[[#This Row],[2017]]-AF9-AF8-AF7-AF6-AF5</f>
        <v>626</v>
      </c>
      <c r="AG10" s="83">
        <v>862</v>
      </c>
      <c r="AH10" s="83">
        <f>+Tabla3[[#This Row],[2019]]-AH9-AH8-AH7-AH6-AH5</f>
        <v>209</v>
      </c>
      <c r="AI10" s="83">
        <f>Tabla3[[#This Row],[2020]]-$AI$9-$AI$8-$AI$7-$AI$6-$AI$5</f>
        <v>201</v>
      </c>
    </row>
    <row r="11" spans="1:35" x14ac:dyDescent="0.2">
      <c r="A11" s="101" t="s">
        <v>8</v>
      </c>
      <c r="B11" s="101">
        <v>2321</v>
      </c>
      <c r="C11" s="83">
        <v>2513</v>
      </c>
      <c r="D11" s="83">
        <v>2992</v>
      </c>
      <c r="E11" s="83">
        <v>3919</v>
      </c>
      <c r="F11" s="83">
        <v>5088</v>
      </c>
      <c r="G11" s="83">
        <v>5830</v>
      </c>
      <c r="H11" s="83">
        <v>4469</v>
      </c>
      <c r="I11" s="83">
        <v>4342</v>
      </c>
      <c r="J11" s="83">
        <v>3751</v>
      </c>
      <c r="K11" s="83">
        <v>3735</v>
      </c>
      <c r="L11" s="83">
        <v>3754</v>
      </c>
      <c r="M11" s="101">
        <v>3642</v>
      </c>
      <c r="N11" s="83">
        <v>4010</v>
      </c>
      <c r="O11" s="83">
        <f>'[1]Detalle por sesión'!$H$26</f>
        <v>3730</v>
      </c>
      <c r="P11" s="83">
        <v>2711</v>
      </c>
      <c r="Q11" s="83">
        <f>'Detalle por sesión'!$M$33</f>
        <v>2312</v>
      </c>
      <c r="S11" s="101" t="s">
        <v>8</v>
      </c>
      <c r="T11" s="83">
        <f>+Tabla3[[#This Row],[2005]]-B10</f>
        <v>192</v>
      </c>
      <c r="U11" s="83">
        <f>+Tabla3[[#This Row],[2006]]-C10</f>
        <v>207</v>
      </c>
      <c r="V11" s="83">
        <f>+Tabla3[[#This Row],[2007]]-D10</f>
        <v>333</v>
      </c>
      <c r="W11" s="83">
        <f>+Tabla3[[#This Row],[2008]]-E10</f>
        <v>454</v>
      </c>
      <c r="X11" s="83">
        <v>559</v>
      </c>
      <c r="Y11" s="83">
        <f>+Tabla3[[#This Row],[2010]]-G10</f>
        <v>630</v>
      </c>
      <c r="Z11" s="83">
        <f>+Tabla3[[#This Row],[2011]]-H10</f>
        <v>224</v>
      </c>
      <c r="AA11" s="83">
        <f>+Tabla3[[#This Row],[2012]]-I10</f>
        <v>400</v>
      </c>
      <c r="AB11" s="83">
        <f>+Tabla3[[#This Row],[2013]]-J10</f>
        <v>446</v>
      </c>
      <c r="AC11" s="83">
        <v>470</v>
      </c>
      <c r="AD11" s="83">
        <f>+Tabla3[[#This Row],[2015]]-L10</f>
        <v>469</v>
      </c>
      <c r="AE11" s="83">
        <f>+Tabla3[[#This Row],[2016]]-AE9-AE8-AE7-AE6-AE5-AE10</f>
        <v>375</v>
      </c>
      <c r="AF11" s="83">
        <f>Tabla3[[#This Row],[2017]]-AF10-AF9-AF8-AF7-AF6-AF5</f>
        <v>581</v>
      </c>
      <c r="AG11" s="83">
        <v>564</v>
      </c>
      <c r="AH11" s="83">
        <f>+Tabla3[[#This Row],[2019]]-AH10-AH9-AH8-AH7-AH6-AH5</f>
        <v>124</v>
      </c>
      <c r="AI11" s="83">
        <f>Tabla3[[#This Row],[2020]]-$AI$10-$AI$9-$AI$8-$AI$7-$AI$6-$AI$5</f>
        <v>312</v>
      </c>
    </row>
    <row r="12" spans="1:35" x14ac:dyDescent="0.2">
      <c r="A12" s="101" t="s">
        <v>9</v>
      </c>
      <c r="B12" s="101">
        <v>2620</v>
      </c>
      <c r="C12" s="83">
        <v>2838</v>
      </c>
      <c r="D12" s="83">
        <v>3346</v>
      </c>
      <c r="E12" s="83">
        <v>4368</v>
      </c>
      <c r="F12" s="83">
        <v>5611</v>
      </c>
      <c r="G12" s="83">
        <v>6565</v>
      </c>
      <c r="H12" s="83">
        <v>4601</v>
      </c>
      <c r="I12" s="83">
        <v>4616</v>
      </c>
      <c r="J12" s="83">
        <v>4166</v>
      </c>
      <c r="K12" s="83">
        <v>4119</v>
      </c>
      <c r="L12" s="83">
        <v>4250</v>
      </c>
      <c r="M12" s="101">
        <v>4190</v>
      </c>
      <c r="N12" s="83">
        <v>4506</v>
      </c>
      <c r="O12" s="83">
        <f>'[1]Detalle por sesión'!$H$30</f>
        <v>4258</v>
      </c>
      <c r="P12" s="83">
        <v>2883</v>
      </c>
      <c r="Q12" s="83">
        <f>'Detalle por sesión'!$M$37</f>
        <v>2539</v>
      </c>
      <c r="S12" s="101" t="s">
        <v>9</v>
      </c>
      <c r="T12" s="83">
        <f>+Tabla3[[#This Row],[2005]]-B11</f>
        <v>299</v>
      </c>
      <c r="U12" s="83">
        <f>+Tabla3[[#This Row],[2006]]-C11</f>
        <v>325</v>
      </c>
      <c r="V12" s="83">
        <f>+Tabla3[[#This Row],[2007]]-D11</f>
        <v>354</v>
      </c>
      <c r="W12" s="83">
        <f>+Tabla3[[#This Row],[2008]]-E11</f>
        <v>449</v>
      </c>
      <c r="X12" s="83">
        <v>523</v>
      </c>
      <c r="Y12" s="83">
        <f>+Tabla3[[#This Row],[2010]]-G11</f>
        <v>735</v>
      </c>
      <c r="Z12" s="83">
        <f>+Tabla3[[#This Row],[2011]]-H11</f>
        <v>132</v>
      </c>
      <c r="AA12" s="83">
        <f>+Tabla3[[#This Row],[2012]]-I11</f>
        <v>274</v>
      </c>
      <c r="AB12" s="83">
        <f>+Tabla3[[#This Row],[2013]]-J11</f>
        <v>415</v>
      </c>
      <c r="AC12" s="83">
        <v>384</v>
      </c>
      <c r="AD12" s="83">
        <f>+Tabla3[[#This Row],[2015]]-L11</f>
        <v>496</v>
      </c>
      <c r="AE12" s="83">
        <f>+Tabla3[[#This Row],[2016]]-AE5-AE6-AE7-AE8-AE9-AE10-AE11</f>
        <v>548</v>
      </c>
      <c r="AF12" s="83">
        <f>Tabla3[[#This Row],[2017]]-AF11-AF10-AF9-AF8-AF7-AF6-AF5</f>
        <v>496</v>
      </c>
      <c r="AG12" s="83">
        <v>528</v>
      </c>
      <c r="AH12" s="83">
        <f>+Tabla3[[#This Row],[2019]]-AH11-AH10-AH9-AH8-AH7-AH6-AH5</f>
        <v>172</v>
      </c>
      <c r="AI12" s="83">
        <f>Tabla3[[#This Row],[2020]]-$AI$11-$AI$10-$AI$9-$AI$8-$AI$7-$AI$6-$AI$5</f>
        <v>227</v>
      </c>
    </row>
    <row r="13" spans="1:35" x14ac:dyDescent="0.2">
      <c r="A13" s="101" t="s">
        <v>10</v>
      </c>
      <c r="B13" s="101">
        <v>2923</v>
      </c>
      <c r="C13" s="83">
        <v>3191</v>
      </c>
      <c r="D13" s="83">
        <v>3740</v>
      </c>
      <c r="E13" s="83">
        <v>4959</v>
      </c>
      <c r="F13" s="83">
        <v>6532</v>
      </c>
      <c r="G13" s="83">
        <v>7132</v>
      </c>
      <c r="H13" s="83">
        <v>4601</v>
      </c>
      <c r="I13" s="83">
        <v>4999</v>
      </c>
      <c r="J13" s="83">
        <v>4604</v>
      </c>
      <c r="K13" s="83">
        <v>4723</v>
      </c>
      <c r="L13" s="83">
        <v>4678</v>
      </c>
      <c r="M13" s="101">
        <v>4709</v>
      </c>
      <c r="N13" s="83">
        <v>4924</v>
      </c>
      <c r="O13" s="83">
        <f>'[1]Detalle por sesión'!$H$34</f>
        <v>4745</v>
      </c>
      <c r="P13" s="83">
        <v>3021</v>
      </c>
      <c r="Q13" s="83">
        <f>'Detalle por sesión'!$M$41</f>
        <v>2789</v>
      </c>
      <c r="S13" s="101" t="s">
        <v>10</v>
      </c>
      <c r="T13" s="83">
        <f>+Tabla3[[#This Row],[2005]]-B12</f>
        <v>303</v>
      </c>
      <c r="U13" s="83">
        <f>+Tabla3[[#This Row],[2006]]-C12</f>
        <v>353</v>
      </c>
      <c r="V13" s="83">
        <f>+Tabla3[[#This Row],[2007]]-D12</f>
        <v>394</v>
      </c>
      <c r="W13" s="83">
        <f>+Tabla3[[#This Row],[2008]]-E12</f>
        <v>591</v>
      </c>
      <c r="X13" s="83">
        <v>921</v>
      </c>
      <c r="Y13" s="83">
        <f>+Tabla3[[#This Row],[2010]]-G12</f>
        <v>567</v>
      </c>
      <c r="Z13" s="83">
        <v>0</v>
      </c>
      <c r="AA13" s="83">
        <f>+Tabla3[[#This Row],[2012]]-I12</f>
        <v>383</v>
      </c>
      <c r="AB13" s="83">
        <f>+Tabla3[[#This Row],[2013]]-J12</f>
        <v>438</v>
      </c>
      <c r="AC13" s="83">
        <v>604</v>
      </c>
      <c r="AD13" s="83">
        <f>+Tabla3[[#This Row],[2015]]-L12</f>
        <v>428</v>
      </c>
      <c r="AE13" s="83">
        <f>+Tabla3[[#This Row],[2016]]-AE6-AE7-AE8-AE9-AE10-AE11-AE12-AE5</f>
        <v>519</v>
      </c>
      <c r="AF13" s="83">
        <f>Tabla3[[#This Row],[2017]]-AF12-AF11-AF10-AF9-AF8-AF7-AF6-AF5</f>
        <v>418</v>
      </c>
      <c r="AG13" s="83">
        <v>487</v>
      </c>
      <c r="AH13" s="83">
        <f>+Tabla3[[#This Row],[2019]]-AH12-AH11-AH10-AH9-AH8-AH7-AH6-AH5</f>
        <v>138</v>
      </c>
      <c r="AI13" s="83">
        <f>Tabla3[[#This Row],[2020]]-$AI$11-$AI$10-$AI$9-$AI$8-$AI$7-$AI$6-$AI$5-AI12</f>
        <v>250</v>
      </c>
    </row>
    <row r="14" spans="1:35" x14ac:dyDescent="0.2">
      <c r="A14" s="101" t="s">
        <v>11</v>
      </c>
      <c r="B14" s="101">
        <v>3073</v>
      </c>
      <c r="C14" s="83">
        <v>3464</v>
      </c>
      <c r="D14" s="83">
        <v>4021</v>
      </c>
      <c r="E14" s="83">
        <v>5249</v>
      </c>
      <c r="F14" s="83">
        <v>7088</v>
      </c>
      <c r="G14" s="83">
        <v>7675</v>
      </c>
      <c r="H14" s="83">
        <v>4601</v>
      </c>
      <c r="I14" s="83">
        <v>5253</v>
      </c>
      <c r="J14" s="83">
        <v>4961</v>
      </c>
      <c r="K14" s="83">
        <v>5092</v>
      </c>
      <c r="L14" s="83">
        <v>4997</v>
      </c>
      <c r="M14" s="101">
        <v>5362</v>
      </c>
      <c r="N14" s="83">
        <v>5400</v>
      </c>
      <c r="O14" s="83">
        <f>'[1]Detalle por sesión'!$H$38</f>
        <v>5295</v>
      </c>
      <c r="P14" s="83">
        <v>3055</v>
      </c>
      <c r="Q14" s="83">
        <f>'Detalle por sesión'!$M$46</f>
        <v>3135</v>
      </c>
      <c r="S14" s="101" t="s">
        <v>11</v>
      </c>
      <c r="T14" s="83">
        <f>+Tabla3[[#This Row],[2005]]-B13</f>
        <v>150</v>
      </c>
      <c r="U14" s="83">
        <f>+Tabla3[[#This Row],[2006]]-C13</f>
        <v>273</v>
      </c>
      <c r="V14" s="83">
        <f>+Tabla3[[#This Row],[2007]]-D13</f>
        <v>281</v>
      </c>
      <c r="W14" s="83">
        <f>+Tabla3[[#This Row],[2008]]-E13</f>
        <v>290</v>
      </c>
      <c r="X14" s="83">
        <v>556</v>
      </c>
      <c r="Y14" s="83">
        <f>+Tabla3[[#This Row],[2010]]-G13</f>
        <v>543</v>
      </c>
      <c r="Z14" s="83">
        <v>0</v>
      </c>
      <c r="AA14" s="83">
        <f>+Tabla3[[#This Row],[2012]]-I13</f>
        <v>254</v>
      </c>
      <c r="AB14" s="83">
        <f>+Tabla3[[#This Row],[2013]]-J13</f>
        <v>357</v>
      </c>
      <c r="AC14" s="83">
        <v>369</v>
      </c>
      <c r="AD14" s="83">
        <f>+Tabla3[[#This Row],[2015]]-L13</f>
        <v>319</v>
      </c>
      <c r="AE14" s="83">
        <f>+Tabla3[[#This Row],[2016]]-AE7-AE8-AE9-AE10-AE11-AE12-AE13-AE6-AE5</f>
        <v>653</v>
      </c>
      <c r="AF14" s="83">
        <f>Tabla3[[#This Row],[2017]]-AF13-AF12-AF11-AF10-AF9-AF8-AF7-AF6-AF5</f>
        <v>476</v>
      </c>
      <c r="AG14" s="83">
        <v>550</v>
      </c>
      <c r="AH14" s="83">
        <f>+Tabla3[[#This Row],[2019]]-AH13-AH12-AH11-AH10-AH9-AH8-AH7-AH6-AH5</f>
        <v>34</v>
      </c>
      <c r="AI14" s="83">
        <f>Tabla3[[#This Row],[2020]]-$AI$11-$AI$10-$AI$9-$AI$8-$AI$7-$AI$6-$AI$5-AI12-AI13</f>
        <v>346</v>
      </c>
    </row>
    <row r="15" spans="1:35" s="25" customFormat="1" x14ac:dyDescent="0.2">
      <c r="A15" s="103" t="s">
        <v>12</v>
      </c>
      <c r="B15" s="103">
        <v>3295</v>
      </c>
      <c r="C15" s="84">
        <v>3660</v>
      </c>
      <c r="D15" s="84">
        <v>4258</v>
      </c>
      <c r="E15" s="84">
        <v>5519</v>
      </c>
      <c r="F15" s="84">
        <v>7575</v>
      </c>
      <c r="G15" s="84">
        <v>8024</v>
      </c>
      <c r="H15" s="84">
        <v>4601</v>
      </c>
      <c r="I15" s="84">
        <v>5333</v>
      </c>
      <c r="J15" s="84">
        <v>5188</v>
      </c>
      <c r="K15" s="84">
        <v>5281</v>
      </c>
      <c r="L15" s="84">
        <v>5247</v>
      </c>
      <c r="M15" s="103">
        <v>5728</v>
      </c>
      <c r="N15" s="84">
        <v>5774</v>
      </c>
      <c r="O15" s="84">
        <f>'[1]Detalle por sesión'!$H$42</f>
        <v>5634</v>
      </c>
      <c r="P15" s="84">
        <v>3073</v>
      </c>
      <c r="Q15" s="84">
        <f>'Detalle por sesión'!$M$50</f>
        <v>3304</v>
      </c>
      <c r="S15" s="103" t="s">
        <v>12</v>
      </c>
      <c r="T15" s="84">
        <f>+Tabla3[[#This Row],[2005]]-B14</f>
        <v>222</v>
      </c>
      <c r="U15" s="84">
        <f>+Tabla3[[#This Row],[2006]]-C14</f>
        <v>196</v>
      </c>
      <c r="V15" s="84">
        <f>+Tabla3[[#This Row],[2007]]-D14</f>
        <v>237</v>
      </c>
      <c r="W15" s="84">
        <f>+Tabla3[[#This Row],[2008]]-E14</f>
        <v>270</v>
      </c>
      <c r="X15" s="84">
        <v>487</v>
      </c>
      <c r="Y15" s="84">
        <f>+Tabla3[[#This Row],[2010]]-G14</f>
        <v>349</v>
      </c>
      <c r="Z15" s="84">
        <v>0</v>
      </c>
      <c r="AA15" s="84">
        <f>+Tabla3[[#This Row],[2012]]-I14</f>
        <v>80</v>
      </c>
      <c r="AB15" s="84">
        <f>+Tabla3[[#This Row],[2013]]-J14</f>
        <v>227</v>
      </c>
      <c r="AC15" s="84">
        <v>189</v>
      </c>
      <c r="AD15" s="84">
        <f>+Tabla3[[#This Row],[2015]]-L14</f>
        <v>250</v>
      </c>
      <c r="AE15" s="84">
        <f>+Tabla3[[#This Row],[2016]]-AE8-AE9-AE10-AE11-AE12-AE13-AE14-AE7-AE6-AE5</f>
        <v>366</v>
      </c>
      <c r="AF15" s="84">
        <f>Tabla3[[#This Row],[2017]]-AF14-AF13-AF12-AF11-AF10-AF9-AF8-AF7-AF6-AF5</f>
        <v>374</v>
      </c>
      <c r="AG15" s="84">
        <v>339</v>
      </c>
      <c r="AH15" s="84">
        <f>+Tabla3[[#This Row],[2019]]-AH14-AH13-AH12-AH11-AH10-AH9-AH8-AH7-AH6-AH5</f>
        <v>18</v>
      </c>
      <c r="AI15" s="83">
        <f>Tabla3[[#This Row],[2020]]-$AI$11-$AI$10-$AI$9-$AI$8-$AI$7-$AI$6-$AI$5-AI12-AI13-AI14</f>
        <v>169</v>
      </c>
    </row>
    <row r="16" spans="1:35" x14ac:dyDescent="0.2">
      <c r="A16" s="101" t="s">
        <v>13</v>
      </c>
      <c r="B16" s="101">
        <v>3446</v>
      </c>
      <c r="C16" s="83">
        <v>3901</v>
      </c>
      <c r="D16" s="83">
        <v>4595</v>
      </c>
      <c r="E16" s="83">
        <v>5843</v>
      </c>
      <c r="F16" s="83">
        <v>7966</v>
      </c>
      <c r="G16" s="83">
        <v>8067</v>
      </c>
      <c r="H16" s="83">
        <v>4601</v>
      </c>
      <c r="I16" s="83">
        <v>5345</v>
      </c>
      <c r="J16" s="83">
        <v>5234</v>
      </c>
      <c r="K16" s="83">
        <v>5390</v>
      </c>
      <c r="L16" s="83">
        <v>5315</v>
      </c>
      <c r="M16" s="101">
        <v>5826</v>
      </c>
      <c r="N16" s="83">
        <v>5892</v>
      </c>
      <c r="O16" s="84">
        <f>'[1]Detalle por sesión'!$H$42</f>
        <v>5634</v>
      </c>
      <c r="P16" s="84">
        <v>3073</v>
      </c>
      <c r="Q16" s="84">
        <f>'Detalle por sesión'!$M$52</f>
        <v>3396</v>
      </c>
      <c r="S16" s="101" t="s">
        <v>13</v>
      </c>
      <c r="T16" s="83">
        <f>+Tabla3[[#This Row],[2005]]-B15</f>
        <v>151</v>
      </c>
      <c r="U16" s="83">
        <f>+Tabla3[[#This Row],[2006]]-C15</f>
        <v>241</v>
      </c>
      <c r="V16" s="83">
        <f>+Tabla3[[#This Row],[2007]]-D15</f>
        <v>337</v>
      </c>
      <c r="W16" s="83">
        <f>+Tabla3[[#This Row],[2008]]-E15</f>
        <v>324</v>
      </c>
      <c r="X16" s="83">
        <v>391</v>
      </c>
      <c r="Y16" s="83">
        <f>+Tabla3[[#This Row],[2010]]-G15</f>
        <v>43</v>
      </c>
      <c r="Z16" s="83">
        <v>0</v>
      </c>
      <c r="AA16" s="83">
        <f>+Tabla3[[#This Row],[2012]]-I15</f>
        <v>12</v>
      </c>
      <c r="AB16" s="83">
        <f>+Tabla3[[#This Row],[2013]]-J15</f>
        <v>46</v>
      </c>
      <c r="AC16" s="83">
        <v>109</v>
      </c>
      <c r="AD16" s="83">
        <f>+Tabla3[[#This Row],[2015]]-L15</f>
        <v>68</v>
      </c>
      <c r="AE16" s="83">
        <f>+Tabla3[[#This Row],[2016]]-AE9-AE10-AE11-AE12-AE13-AE14-AE15-AE8-AE5-AE6-AE7</f>
        <v>98</v>
      </c>
      <c r="AF16" s="83">
        <f>Tabla3[[#This Row],[2017]]-AF15-AF14-AF13-AF12-AF11-AF10-AF9-AF8-AF7-AF6-AF5</f>
        <v>118</v>
      </c>
      <c r="AG16" s="84">
        <v>0</v>
      </c>
      <c r="AH16" s="84">
        <v>0</v>
      </c>
      <c r="AI16" s="83">
        <f>Tabla3[[#This Row],[2020]]-$AI$11-$AI$10-$AI$9-$AI$8-$AI$7-$AI$6-$AI$5-AI12-AI13-AI14-AI15</f>
        <v>92</v>
      </c>
    </row>
    <row r="17" spans="1:35" x14ac:dyDescent="0.2">
      <c r="S17" s="101" t="s">
        <v>22</v>
      </c>
      <c r="T17" s="83">
        <f t="shared" ref="T17:AA17" si="0">SUBTOTAL(109,T5:T16)</f>
        <v>3446</v>
      </c>
      <c r="U17" s="83">
        <f t="shared" si="0"/>
        <v>3901</v>
      </c>
      <c r="V17" s="83">
        <f t="shared" si="0"/>
        <v>4595</v>
      </c>
      <c r="W17" s="83">
        <f t="shared" si="0"/>
        <v>5843</v>
      </c>
      <c r="X17" s="83">
        <f t="shared" si="0"/>
        <v>7966</v>
      </c>
      <c r="Y17" s="83">
        <f t="shared" si="0"/>
        <v>8067</v>
      </c>
      <c r="Z17" s="83">
        <f t="shared" si="0"/>
        <v>4601</v>
      </c>
      <c r="AA17" s="83">
        <f t="shared" si="0"/>
        <v>5345</v>
      </c>
      <c r="AB17" s="83">
        <f>SUBTOTAL(109,AB5:AB16)</f>
        <v>5234</v>
      </c>
      <c r="AC17" s="83">
        <f>SUBTOTAL(109,AC5:AC16)</f>
        <v>5390</v>
      </c>
      <c r="AD17" s="83">
        <f>SUBTOTAL(109,AD5:AD16)</f>
        <v>5315</v>
      </c>
      <c r="AE17" s="83">
        <f>SUBTOTAL(109,AE5:AE16)</f>
        <v>5826</v>
      </c>
      <c r="AF17" s="83">
        <f>SUBTOTAL(109,AF5:AF16)</f>
        <v>5892</v>
      </c>
      <c r="AG17" s="83">
        <f>SUM(AG5:AG16)</f>
        <v>5634</v>
      </c>
      <c r="AH17" s="83">
        <f>SUM(AH5:AH16)</f>
        <v>3073</v>
      </c>
      <c r="AI17" s="83">
        <f>SUM(AI5:AI16)</f>
        <v>3396</v>
      </c>
    </row>
    <row r="18" spans="1:35" x14ac:dyDescent="0.2">
      <c r="S18" s="8"/>
      <c r="T18" s="8"/>
      <c r="U18" s="8"/>
      <c r="V18" s="8"/>
      <c r="W18" s="8"/>
      <c r="X18" s="8"/>
    </row>
    <row r="19" spans="1:35" x14ac:dyDescent="0.2">
      <c r="A19" s="158" t="s">
        <v>23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79"/>
      <c r="R19" s="9"/>
      <c r="S19" s="158" t="s">
        <v>23</v>
      </c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</row>
    <row r="20" spans="1:35" x14ac:dyDescent="0.2">
      <c r="A20" s="108" t="s">
        <v>0</v>
      </c>
      <c r="B20" s="108" t="s">
        <v>14</v>
      </c>
      <c r="C20" s="108" t="s">
        <v>15</v>
      </c>
      <c r="D20" s="108" t="s">
        <v>16</v>
      </c>
      <c r="E20" s="108" t="s">
        <v>17</v>
      </c>
      <c r="F20" s="108" t="s">
        <v>18</v>
      </c>
      <c r="G20" s="108" t="s">
        <v>24</v>
      </c>
      <c r="H20" s="108" t="s">
        <v>25</v>
      </c>
      <c r="I20" s="108" t="s">
        <v>27</v>
      </c>
      <c r="J20" s="108" t="s">
        <v>36</v>
      </c>
      <c r="K20" s="108" t="s">
        <v>37</v>
      </c>
      <c r="L20" s="108" t="s">
        <v>38</v>
      </c>
      <c r="M20" s="108" t="s">
        <v>68</v>
      </c>
      <c r="N20" s="108" t="s">
        <v>71</v>
      </c>
      <c r="O20" s="108" t="s">
        <v>72</v>
      </c>
      <c r="P20" s="108" t="s">
        <v>73</v>
      </c>
      <c r="Q20" s="108" t="s">
        <v>97</v>
      </c>
      <c r="S20" s="108" t="s">
        <v>0</v>
      </c>
      <c r="T20" s="108" t="s">
        <v>14</v>
      </c>
      <c r="U20" s="108" t="s">
        <v>15</v>
      </c>
      <c r="V20" s="108" t="s">
        <v>16</v>
      </c>
      <c r="W20" s="108" t="s">
        <v>17</v>
      </c>
      <c r="X20" s="108" t="s">
        <v>18</v>
      </c>
      <c r="Y20" s="108" t="s">
        <v>24</v>
      </c>
      <c r="Z20" s="108" t="s">
        <v>25</v>
      </c>
      <c r="AA20" s="108" t="s">
        <v>27</v>
      </c>
      <c r="AB20" s="108" t="s">
        <v>36</v>
      </c>
      <c r="AC20" s="108" t="s">
        <v>37</v>
      </c>
      <c r="AD20" s="108" t="s">
        <v>38</v>
      </c>
      <c r="AE20" s="108" t="s">
        <v>68</v>
      </c>
      <c r="AF20" s="108" t="s">
        <v>71</v>
      </c>
      <c r="AG20" s="108" t="s">
        <v>72</v>
      </c>
      <c r="AH20" s="108" t="s">
        <v>73</v>
      </c>
      <c r="AI20" s="108" t="s">
        <v>97</v>
      </c>
    </row>
    <row r="21" spans="1:35" x14ac:dyDescent="0.2">
      <c r="A21" s="101" t="s">
        <v>1</v>
      </c>
      <c r="B21" s="101">
        <v>736</v>
      </c>
      <c r="C21" s="83">
        <v>1221</v>
      </c>
      <c r="D21" s="83">
        <v>1555</v>
      </c>
      <c r="E21" s="83">
        <v>2797</v>
      </c>
      <c r="F21" s="83">
        <v>3425</v>
      </c>
      <c r="G21" s="83">
        <v>3215.223</v>
      </c>
      <c r="H21" s="83">
        <v>1779</v>
      </c>
      <c r="I21" s="83">
        <v>4991</v>
      </c>
      <c r="J21" s="83">
        <v>2949.8944580000002</v>
      </c>
      <c r="K21" s="83">
        <v>3473.6604170000001</v>
      </c>
      <c r="L21" s="104">
        <v>1997.2718930000001</v>
      </c>
      <c r="M21" s="104">
        <v>2876.3303799</v>
      </c>
      <c r="N21" s="104">
        <v>4658.5042540000004</v>
      </c>
      <c r="O21" s="104">
        <v>3294.1370320000001</v>
      </c>
      <c r="P21" s="105">
        <v>3794.9564399999999</v>
      </c>
      <c r="Q21" s="105">
        <f>'Detalle por sesión'!$X$7/1000000</f>
        <v>3367.4316990000002</v>
      </c>
      <c r="R21" s="10"/>
      <c r="S21" s="101" t="s">
        <v>1</v>
      </c>
      <c r="T21" s="83">
        <f>+Tabla4[[#This Row],[2005]]</f>
        <v>736</v>
      </c>
      <c r="U21" s="83">
        <f>+Tabla4[[#This Row],[2006]]</f>
        <v>1221</v>
      </c>
      <c r="V21" s="83">
        <f>+Tabla4[[#This Row],[2007]]</f>
        <v>1555</v>
      </c>
      <c r="W21" s="83">
        <f>+Tabla4[[#This Row],[2008]]</f>
        <v>2797</v>
      </c>
      <c r="X21" s="83">
        <v>3425</v>
      </c>
      <c r="Y21" s="83">
        <f>+Tabla4[[#This Row],[2010]]</f>
        <v>3215.223</v>
      </c>
      <c r="Z21" s="83">
        <f>+Tabla4[[#This Row],[2011]]</f>
        <v>1779</v>
      </c>
      <c r="AA21" s="83">
        <f>+Tabla4[[#This Row],[2012]]</f>
        <v>4991</v>
      </c>
      <c r="AB21" s="83">
        <f>+Tabla4[[#This Row],[2013]]</f>
        <v>2949.8944580000002</v>
      </c>
      <c r="AC21" s="83">
        <v>3473.6604170000001</v>
      </c>
      <c r="AD21" s="104">
        <f>+Tabla4[[#This Row],[2015]]</f>
        <v>1997.2718930000001</v>
      </c>
      <c r="AE21" s="104">
        <v>2876.3303799</v>
      </c>
      <c r="AF21" s="104">
        <v>4658.5042540000004</v>
      </c>
      <c r="AG21" s="104">
        <v>3294.1370320000001</v>
      </c>
      <c r="AH21" s="105">
        <f>+Tabla4[[#This Row],[2019]]</f>
        <v>3794.9564399999999</v>
      </c>
      <c r="AI21" s="105">
        <f>Tabla4[[#This Row],[2020]]</f>
        <v>3367.4316990000002</v>
      </c>
    </row>
    <row r="22" spans="1:35" x14ac:dyDescent="0.2">
      <c r="A22" s="101" t="s">
        <v>3</v>
      </c>
      <c r="B22" s="101">
        <v>1466</v>
      </c>
      <c r="C22" s="83">
        <v>2151</v>
      </c>
      <c r="D22" s="83">
        <v>2638</v>
      </c>
      <c r="E22" s="83">
        <v>4556</v>
      </c>
      <c r="F22" s="83">
        <v>6434</v>
      </c>
      <c r="G22" s="83">
        <v>8020</v>
      </c>
      <c r="H22" s="83">
        <v>3344</v>
      </c>
      <c r="I22" s="83">
        <f>7413</f>
        <v>7413</v>
      </c>
      <c r="J22" s="83">
        <v>5346.7025329999997</v>
      </c>
      <c r="K22" s="83">
        <v>5830.914084</v>
      </c>
      <c r="L22" s="104">
        <v>4527.5247179999997</v>
      </c>
      <c r="M22" s="104">
        <v>6776.9950950999992</v>
      </c>
      <c r="N22" s="104">
        <v>7847.82165635</v>
      </c>
      <c r="O22" s="104">
        <v>7244.9483270000001</v>
      </c>
      <c r="P22" s="105">
        <v>7504.4880700000003</v>
      </c>
      <c r="Q22" s="105">
        <f>'Detalle por sesión'!$X$12/1000000</f>
        <v>5583.9558260000003</v>
      </c>
      <c r="R22" s="7"/>
      <c r="S22" s="101" t="s">
        <v>3</v>
      </c>
      <c r="T22" s="83">
        <f>+Tabla4[[#This Row],[2005]]-T21</f>
        <v>730</v>
      </c>
      <c r="U22" s="83">
        <f>+Tabla4[[#This Row],[2006]]-C21</f>
        <v>930</v>
      </c>
      <c r="V22" s="83">
        <f>+Tabla4[[#This Row],[2007]]-D21</f>
        <v>1083</v>
      </c>
      <c r="W22" s="83">
        <f>+Tabla4[[#This Row],[2008]]-E21</f>
        <v>1759</v>
      </c>
      <c r="X22" s="83">
        <v>3009</v>
      </c>
      <c r="Y22" s="83">
        <f>+Tabla4[[#This Row],[2010]]-G21</f>
        <v>4804.777</v>
      </c>
      <c r="Z22" s="83">
        <f>+Tabla4[[#This Row],[2011]]-H21</f>
        <v>1565</v>
      </c>
      <c r="AA22" s="83">
        <f>+Tabla4[[#This Row],[2012]]-I21</f>
        <v>2422</v>
      </c>
      <c r="AB22" s="83">
        <f>+Tabla4[[#This Row],[2013]]-J21</f>
        <v>2396.8080749999995</v>
      </c>
      <c r="AC22" s="83">
        <v>2357.253667</v>
      </c>
      <c r="AD22" s="104">
        <f>(+Tabla4[[#This Row],[2015]]-L21)</f>
        <v>2530.2528249999996</v>
      </c>
      <c r="AE22" s="104">
        <v>3900.6647151999991</v>
      </c>
      <c r="AF22" s="104">
        <v>3189.3174023499996</v>
      </c>
      <c r="AG22" s="104">
        <v>3950.811295</v>
      </c>
      <c r="AH22" s="105">
        <f>+Tabla4[[#This Row],[2019]]-AH21</f>
        <v>3709.5316300000004</v>
      </c>
      <c r="AI22" s="105">
        <f>Tabla4[[#This Row],[2020]]-AI21</f>
        <v>2216.5241270000001</v>
      </c>
    </row>
    <row r="23" spans="1:35" x14ac:dyDescent="0.2">
      <c r="A23" s="101" t="s">
        <v>4</v>
      </c>
      <c r="B23" s="101">
        <v>2196</v>
      </c>
      <c r="C23" s="83">
        <v>3023</v>
      </c>
      <c r="D23" s="83">
        <v>3594</v>
      </c>
      <c r="E23" s="83">
        <v>5727</v>
      </c>
      <c r="F23" s="83">
        <v>9006</v>
      </c>
      <c r="G23" s="83">
        <f>11764724000/1000000</f>
        <v>11764.724</v>
      </c>
      <c r="H23" s="83">
        <f>6405049229.77/1000000</f>
        <v>6405.0492297700002</v>
      </c>
      <c r="I23" s="83">
        <v>7549</v>
      </c>
      <c r="J23" s="83">
        <v>6801.0982759999997</v>
      </c>
      <c r="K23" s="83">
        <v>8026.2716689999997</v>
      </c>
      <c r="L23" s="104">
        <v>7398.9734520000002</v>
      </c>
      <c r="M23" s="104">
        <v>8348.0725160999991</v>
      </c>
      <c r="N23" s="104">
        <v>11006.014845350001</v>
      </c>
      <c r="O23" s="104">
        <v>9934.6958680000007</v>
      </c>
      <c r="P23" s="105">
        <v>9976.7183760000007</v>
      </c>
      <c r="Q23" s="105">
        <f>'Detalle por sesión'!$X$17/1000000</f>
        <v>8246.8282980000004</v>
      </c>
      <c r="R23" s="10"/>
      <c r="S23" s="101" t="s">
        <v>4</v>
      </c>
      <c r="T23" s="83">
        <f>+Tabla4[[#This Row],[2005]]-B22</f>
        <v>730</v>
      </c>
      <c r="U23" s="83">
        <f>+Tabla4[[#This Row],[2006]]-C22</f>
        <v>872</v>
      </c>
      <c r="V23" s="83">
        <f>+Tabla4[[#This Row],[2007]]-D22</f>
        <v>956</v>
      </c>
      <c r="W23" s="83">
        <f>+Tabla4[[#This Row],[2008]]-E22</f>
        <v>1171</v>
      </c>
      <c r="X23" s="83">
        <v>2572</v>
      </c>
      <c r="Y23" s="83">
        <f>+Tabla4[[#This Row],[2010]]-G22</f>
        <v>3744.7240000000002</v>
      </c>
      <c r="Z23" s="83">
        <f>+Tabla4[[#This Row],[2011]]-H22</f>
        <v>3061.0492297700002</v>
      </c>
      <c r="AA23" s="83">
        <f>+Tabla4[[#This Row],[2012]]-I22</f>
        <v>136</v>
      </c>
      <c r="AB23" s="83">
        <f>+Tabla4[[#This Row],[2013]]-J22</f>
        <v>1454.395743</v>
      </c>
      <c r="AC23" s="83">
        <v>2195.3575849999997</v>
      </c>
      <c r="AD23" s="104">
        <f>(+Tabla4[[#This Row],[2015]]-L22)</f>
        <v>2871.4487340000005</v>
      </c>
      <c r="AE23" s="104">
        <v>1571.077421</v>
      </c>
      <c r="AF23" s="104">
        <v>3158.1931890000005</v>
      </c>
      <c r="AG23" s="104">
        <v>2689.7475410000011</v>
      </c>
      <c r="AH23" s="105">
        <f>+Tabla4[[#This Row],[2019]]-AH22-AH21</f>
        <v>2472.2303060000004</v>
      </c>
      <c r="AI23" s="105">
        <f>Tabla4[[#This Row],[2020]]-$AI$22-$AI$21</f>
        <v>2662.8724719999996</v>
      </c>
    </row>
    <row r="24" spans="1:35" x14ac:dyDescent="0.2">
      <c r="A24" s="101" t="s">
        <v>5</v>
      </c>
      <c r="B24" s="101">
        <v>2786</v>
      </c>
      <c r="C24" s="83">
        <v>3461</v>
      </c>
      <c r="D24" s="83">
        <v>4696</v>
      </c>
      <c r="E24" s="83">
        <v>8071</v>
      </c>
      <c r="F24" s="83">
        <v>11187</v>
      </c>
      <c r="G24" s="83">
        <f>15363411/1000</f>
        <v>15363.411</v>
      </c>
      <c r="H24" s="83">
        <f>7858499304.57/1000000</f>
        <v>7858.4993045699994</v>
      </c>
      <c r="I24" s="83">
        <v>7939</v>
      </c>
      <c r="J24" s="83">
        <v>8866.2084570000006</v>
      </c>
      <c r="K24" s="83">
        <v>10791.245697</v>
      </c>
      <c r="L24" s="104">
        <v>9941.0436310000005</v>
      </c>
      <c r="M24" s="104">
        <v>10381.863419949999</v>
      </c>
      <c r="N24" s="104">
        <v>13817.93013035</v>
      </c>
      <c r="O24" s="104">
        <v>14204.052411000001</v>
      </c>
      <c r="P24" s="105">
        <v>13841.571035000001</v>
      </c>
      <c r="Q24" s="105">
        <f>'Detalle por sesión'!$X$20/1000000</f>
        <v>9519.7064649999993</v>
      </c>
      <c r="R24" s="7"/>
      <c r="S24" s="101" t="s">
        <v>5</v>
      </c>
      <c r="T24" s="83">
        <f>+Tabla4[[#This Row],[2005]]-B23</f>
        <v>590</v>
      </c>
      <c r="U24" s="83">
        <f>+Tabla4[[#This Row],[2006]]-C23</f>
        <v>438</v>
      </c>
      <c r="V24" s="83">
        <f>+Tabla4[[#This Row],[2007]]-D23</f>
        <v>1102</v>
      </c>
      <c r="W24" s="83">
        <f>+Tabla4[[#This Row],[2008]]-E23</f>
        <v>2344</v>
      </c>
      <c r="X24" s="83">
        <v>2181</v>
      </c>
      <c r="Y24" s="83">
        <f>+Tabla4[[#This Row],[2010]]-G23</f>
        <v>3598.6869999999999</v>
      </c>
      <c r="Z24" s="83">
        <f>+Tabla4[[#This Row],[2011]]-H23</f>
        <v>1453.4500747999991</v>
      </c>
      <c r="AA24" s="83">
        <f>+Tabla4[[#This Row],[2012]]-I23</f>
        <v>390</v>
      </c>
      <c r="AB24" s="83">
        <f>+Tabla4[[#This Row],[2013]]-J23</f>
        <v>2065.1101810000009</v>
      </c>
      <c r="AC24" s="83">
        <v>2764.9740280000005</v>
      </c>
      <c r="AD24" s="104">
        <f>(+Tabla4[[#This Row],[2015]]-L23)</f>
        <v>2542.0701790000003</v>
      </c>
      <c r="AE24" s="104">
        <v>2033.7909038500002</v>
      </c>
      <c r="AF24" s="104">
        <v>2811.9152849999991</v>
      </c>
      <c r="AG24" s="104">
        <v>4269.3565429999999</v>
      </c>
      <c r="AH24" s="105">
        <f>+Tabla4[[#This Row],[2019]]-AH23-AH22-AH21</f>
        <v>3864.8526589999992</v>
      </c>
      <c r="AI24" s="105">
        <f>Tabla4[[#This Row],[2020]]-$AI$23-$AI$22-$AI$21</f>
        <v>1272.8781669999994</v>
      </c>
    </row>
    <row r="25" spans="1:35" x14ac:dyDescent="0.2">
      <c r="A25" s="101" t="s">
        <v>6</v>
      </c>
      <c r="B25" s="101">
        <v>3930</v>
      </c>
      <c r="C25" s="83">
        <v>4659</v>
      </c>
      <c r="D25" s="83">
        <v>6200</v>
      </c>
      <c r="E25" s="83">
        <v>10482</v>
      </c>
      <c r="F25" s="83">
        <v>13120</v>
      </c>
      <c r="G25" s="83">
        <f>19058441/1000</f>
        <v>19058.440999999999</v>
      </c>
      <c r="H25" s="83">
        <v>11970</v>
      </c>
      <c r="I25" s="83">
        <v>9902</v>
      </c>
      <c r="J25" s="83">
        <v>11430.657756000001</v>
      </c>
      <c r="K25" s="83">
        <v>13496.550818</v>
      </c>
      <c r="L25" s="104">
        <v>12598.611258000001</v>
      </c>
      <c r="M25" s="104">
        <v>15125.197091699998</v>
      </c>
      <c r="N25" s="104">
        <v>17135.801642350001</v>
      </c>
      <c r="O25" s="104">
        <v>15208.356358999999</v>
      </c>
      <c r="P25" s="105">
        <v>15645.019624</v>
      </c>
      <c r="Q25" s="105">
        <f>'Detalle por sesión'!$X$24/1000000</f>
        <v>10846.900540000001</v>
      </c>
      <c r="R25" s="10"/>
      <c r="S25" s="101" t="s">
        <v>6</v>
      </c>
      <c r="T25" s="83">
        <f>+Tabla4[[#This Row],[2005]]-B24</f>
        <v>1144</v>
      </c>
      <c r="U25" s="83">
        <f>+Tabla4[[#This Row],[2006]]-C24</f>
        <v>1198</v>
      </c>
      <c r="V25" s="83">
        <f>+Tabla4[[#This Row],[2007]]-D24</f>
        <v>1504</v>
      </c>
      <c r="W25" s="83">
        <f>+Tabla4[[#This Row],[2008]]-E24</f>
        <v>2411</v>
      </c>
      <c r="X25" s="83">
        <v>1933</v>
      </c>
      <c r="Y25" s="83">
        <f>+Tabla4[[#This Row],[2010]]-G24</f>
        <v>3695.0299999999988</v>
      </c>
      <c r="Z25" s="83">
        <f>+Tabla4[[#This Row],[2011]]-H24</f>
        <v>4111.5006954300006</v>
      </c>
      <c r="AA25" s="83">
        <f>+Tabla4[[#This Row],[2012]]-I24</f>
        <v>1963</v>
      </c>
      <c r="AB25" s="83">
        <f>+Tabla4[[#This Row],[2013]]-J24</f>
        <v>2564.4492989999999</v>
      </c>
      <c r="AC25" s="83">
        <v>2705.3051209999994</v>
      </c>
      <c r="AD25" s="104">
        <f>(+Tabla4[[#This Row],[2015]]-L24)</f>
        <v>2657.5676270000004</v>
      </c>
      <c r="AE25" s="104">
        <v>4743.3336717499988</v>
      </c>
      <c r="AF25" s="104">
        <v>3317.8715120000015</v>
      </c>
      <c r="AG25" s="104">
        <v>1004.3039479999993</v>
      </c>
      <c r="AH25" s="105">
        <f>+Tabla4[[#This Row],[2019]]-AH24-AH23-AH22-AH21</f>
        <v>1803.4485889999987</v>
      </c>
      <c r="AI25" s="105">
        <f>Tabla4[[#This Row],[2020]]-$AI$24-$AI$23-$AI$22-$AI$21</f>
        <v>1327.1940750000017</v>
      </c>
    </row>
    <row r="26" spans="1:35" x14ac:dyDescent="0.2">
      <c r="A26" s="101" t="s">
        <v>7</v>
      </c>
      <c r="B26" s="101">
        <v>4468</v>
      </c>
      <c r="C26" s="83">
        <v>5239</v>
      </c>
      <c r="D26" s="83">
        <v>7000</v>
      </c>
      <c r="E26" s="83">
        <v>11801</v>
      </c>
      <c r="F26" s="83">
        <v>17216</v>
      </c>
      <c r="G26" s="83">
        <f>22296090/1000</f>
        <v>22296.09</v>
      </c>
      <c r="H26" s="83">
        <v>15186</v>
      </c>
      <c r="I26" s="83">
        <v>11451</v>
      </c>
      <c r="J26" s="83">
        <v>13998.73035</v>
      </c>
      <c r="K26" s="83">
        <v>14846.010225</v>
      </c>
      <c r="L26" s="104">
        <v>15722.936598</v>
      </c>
      <c r="M26" s="104">
        <v>17547.903478699998</v>
      </c>
      <c r="N26" s="104">
        <v>20654.086946349998</v>
      </c>
      <c r="O26" s="104">
        <v>20259.593661999999</v>
      </c>
      <c r="P26" s="105">
        <v>16582.000528</v>
      </c>
      <c r="Q26" s="105">
        <f>'Detalle por sesión'!$X$28/1000000</f>
        <v>12046.726962049999</v>
      </c>
      <c r="R26" s="10"/>
      <c r="S26" s="101" t="s">
        <v>7</v>
      </c>
      <c r="T26" s="83">
        <f>+Tabla4[[#This Row],[2005]]-B25</f>
        <v>538</v>
      </c>
      <c r="U26" s="83">
        <f>+Tabla4[[#This Row],[2006]]-C25</f>
        <v>580</v>
      </c>
      <c r="V26" s="83">
        <f>+Tabla4[[#This Row],[2007]]-D25</f>
        <v>800</v>
      </c>
      <c r="W26" s="83">
        <f>+Tabla4[[#This Row],[2008]]-E25</f>
        <v>1319</v>
      </c>
      <c r="X26" s="83">
        <v>4096</v>
      </c>
      <c r="Y26" s="83">
        <f>+Tabla4[[#This Row],[2010]]-G25</f>
        <v>3237.6490000000013</v>
      </c>
      <c r="Z26" s="83">
        <f>+Tabla4[[#This Row],[2011]]-H25</f>
        <v>3216</v>
      </c>
      <c r="AA26" s="83">
        <f>+Tabla4[[#This Row],[2012]]-I25</f>
        <v>1549</v>
      </c>
      <c r="AB26" s="83">
        <f>+Tabla4[[#This Row],[2013]]-J25</f>
        <v>2568.0725939999993</v>
      </c>
      <c r="AC26" s="83">
        <v>1349.4594070000003</v>
      </c>
      <c r="AD26" s="104">
        <f>(+Tabla4[[#This Row],[2015]]-L25)</f>
        <v>3124.3253399999994</v>
      </c>
      <c r="AE26" s="104">
        <v>2422.7063870000002</v>
      </c>
      <c r="AF26" s="104">
        <v>3518.2853039999973</v>
      </c>
      <c r="AG26" s="104">
        <v>5051.2373029999981</v>
      </c>
      <c r="AH26" s="105">
        <f>+Tabla4[[#This Row],[2019]]-AH25-AH24-AH23-AH22-AH21</f>
        <v>936.9809039999991</v>
      </c>
      <c r="AI26" s="105">
        <f>Tabla4[[#This Row],[2020]]-$AI$25-$AI$24-$AI$23-$AI$22-$AI$21</f>
        <v>1199.8264220499991</v>
      </c>
    </row>
    <row r="27" spans="1:35" x14ac:dyDescent="0.2">
      <c r="A27" s="101" t="s">
        <v>8</v>
      </c>
      <c r="B27" s="101">
        <v>4896</v>
      </c>
      <c r="C27" s="83">
        <v>5707</v>
      </c>
      <c r="D27" s="83">
        <v>7924</v>
      </c>
      <c r="E27" s="83">
        <v>13455</v>
      </c>
      <c r="F27" s="83">
        <v>19511</v>
      </c>
      <c r="G27" s="83">
        <f>25097678/1000</f>
        <v>25097.678</v>
      </c>
      <c r="H27" s="83">
        <v>16045</v>
      </c>
      <c r="I27" s="83">
        <f>12730486296/1000000</f>
        <v>12730.486295999999</v>
      </c>
      <c r="J27" s="83">
        <f>15889599701/1000000</f>
        <v>15889.599700999999</v>
      </c>
      <c r="K27" s="83">
        <v>17085.589671000002</v>
      </c>
      <c r="L27" s="104">
        <v>18408.897586999999</v>
      </c>
      <c r="M27" s="104">
        <v>20286.627582699995</v>
      </c>
      <c r="N27" s="104">
        <v>24892.219180349999</v>
      </c>
      <c r="O27" s="104">
        <v>23966.903987000002</v>
      </c>
      <c r="P27" s="105">
        <v>17268.619979999999</v>
      </c>
      <c r="Q27" s="105">
        <f>'Detalle por sesión'!$X$33/1000000</f>
        <v>14067.80203205</v>
      </c>
      <c r="R27" s="10"/>
      <c r="S27" s="101" t="s">
        <v>8</v>
      </c>
      <c r="T27" s="83">
        <f>+Tabla4[[#This Row],[2005]]-B26</f>
        <v>428</v>
      </c>
      <c r="U27" s="83">
        <f>+Tabla4[[#This Row],[2006]]-C26</f>
        <v>468</v>
      </c>
      <c r="V27" s="83">
        <f>+Tabla4[[#This Row],[2007]]-D26</f>
        <v>924</v>
      </c>
      <c r="W27" s="83">
        <f>+Tabla4[[#This Row],[2008]]-E26</f>
        <v>1654</v>
      </c>
      <c r="X27" s="83">
        <v>2295</v>
      </c>
      <c r="Y27" s="83">
        <f>+Tabla4[[#This Row],[2010]]-G26</f>
        <v>2801.5879999999997</v>
      </c>
      <c r="Z27" s="83">
        <f>+Tabla4[[#This Row],[2011]]-H26</f>
        <v>859</v>
      </c>
      <c r="AA27" s="83">
        <f>+Tabla4[[#This Row],[2012]]-I26</f>
        <v>1279.4862959999991</v>
      </c>
      <c r="AB27" s="83">
        <f>+Tabla4[[#This Row],[2013]]-J26</f>
        <v>1890.8693509999994</v>
      </c>
      <c r="AC27" s="83">
        <v>2239.5794460000016</v>
      </c>
      <c r="AD27" s="104">
        <f>(+Tabla4[[#This Row],[2015]]-L26)</f>
        <v>2685.9609889999992</v>
      </c>
      <c r="AE27" s="104">
        <v>2738.7241039999972</v>
      </c>
      <c r="AF27" s="104">
        <v>4238.1322340000006</v>
      </c>
      <c r="AG27" s="104">
        <v>3707.3103250000026</v>
      </c>
      <c r="AH27" s="105">
        <f>+Tabla4[[#This Row],[2019]]-AH26-AH25-AH24-AH23-AH22-AH21</f>
        <v>686.619451999999</v>
      </c>
      <c r="AI27" s="105">
        <f>Tabla4[[#This Row],[2020]]-$AI$26-$AI$25-$AI$24-$AI$23-$AI$22-$AI$21</f>
        <v>2021.0750700000012</v>
      </c>
    </row>
    <row r="28" spans="1:35" x14ac:dyDescent="0.2">
      <c r="A28" s="101" t="s">
        <v>9</v>
      </c>
      <c r="B28" s="101">
        <v>5550</v>
      </c>
      <c r="C28" s="83">
        <v>6492</v>
      </c>
      <c r="D28" s="83">
        <v>8933</v>
      </c>
      <c r="E28" s="83">
        <v>14998</v>
      </c>
      <c r="F28" s="83">
        <v>21682</v>
      </c>
      <c r="G28" s="83">
        <v>28364.559000000001</v>
      </c>
      <c r="H28" s="83">
        <v>16681</v>
      </c>
      <c r="I28" s="83">
        <f>13512488296/1000000</f>
        <v>13512.488296</v>
      </c>
      <c r="J28" s="83">
        <f>17589461971/1000000</f>
        <v>17589.461971000001</v>
      </c>
      <c r="K28" s="83">
        <v>19091.204468</v>
      </c>
      <c r="L28" s="104">
        <v>20938.236947000001</v>
      </c>
      <c r="M28" s="104">
        <v>23575.845190279997</v>
      </c>
      <c r="N28" s="104">
        <v>28252.800827349998</v>
      </c>
      <c r="O28" s="104">
        <v>27670.736158560001</v>
      </c>
      <c r="P28" s="105">
        <v>18014.761199</v>
      </c>
      <c r="Q28" s="105">
        <f>'Detalle por sesión'!$X$37/1000000</f>
        <v>15426.764954049999</v>
      </c>
      <c r="R28" s="10"/>
      <c r="S28" s="101" t="s">
        <v>9</v>
      </c>
      <c r="T28" s="83">
        <f>+Tabla4[[#This Row],[2005]]-B27</f>
        <v>654</v>
      </c>
      <c r="U28" s="83">
        <f>+Tabla4[[#This Row],[2006]]-C27</f>
        <v>785</v>
      </c>
      <c r="V28" s="83">
        <f>+Tabla4[[#This Row],[2007]]-D27</f>
        <v>1009</v>
      </c>
      <c r="W28" s="83">
        <f>+Tabla4[[#This Row],[2008]]-E27</f>
        <v>1543</v>
      </c>
      <c r="X28" s="83">
        <v>2171</v>
      </c>
      <c r="Y28" s="83">
        <f>+Tabla4[[#This Row],[2010]]-G27</f>
        <v>3266.8810000000012</v>
      </c>
      <c r="Z28" s="83">
        <f>+Tabla4[[#This Row],[2011]]-H27</f>
        <v>636</v>
      </c>
      <c r="AA28" s="83">
        <f>+Tabla4[[#This Row],[2012]]-I27</f>
        <v>782.00200000000041</v>
      </c>
      <c r="AB28" s="83">
        <f>+Tabla4[[#This Row],[2013]]-J27</f>
        <v>1699.8622700000014</v>
      </c>
      <c r="AC28" s="83">
        <v>2005.6147969999984</v>
      </c>
      <c r="AD28" s="104">
        <f>(+Tabla4[[#This Row],[2015]]-L27)</f>
        <v>2529.3393600000018</v>
      </c>
      <c r="AE28" s="104">
        <v>3289.2176075800016</v>
      </c>
      <c r="AF28" s="104">
        <v>3360.5816469999991</v>
      </c>
      <c r="AG28" s="104">
        <v>3703.83217156</v>
      </c>
      <c r="AH28" s="105">
        <f>+Tabla4[[#This Row],[2019]]-AH27-AH26-AH25-AH24-AH23-AH22-AH21</f>
        <v>746.14121900000009</v>
      </c>
      <c r="AI28" s="105">
        <f>Tabla4[[#This Row],[2020]]-$AI$27-$AI$26-$AI$25-$AI$24-$AI$23-$AI$22-$AI$21</f>
        <v>1358.9629219999993</v>
      </c>
    </row>
    <row r="29" spans="1:35" x14ac:dyDescent="0.2">
      <c r="A29" s="101" t="s">
        <v>10</v>
      </c>
      <c r="B29" s="101">
        <v>6185</v>
      </c>
      <c r="C29" s="83">
        <v>7295</v>
      </c>
      <c r="D29" s="83">
        <v>10020</v>
      </c>
      <c r="E29" s="83">
        <v>16993</v>
      </c>
      <c r="F29" s="83">
        <v>25283.444</v>
      </c>
      <c r="G29" s="83">
        <v>30832.991000000002</v>
      </c>
      <c r="H29" s="83">
        <v>16681</v>
      </c>
      <c r="I29" s="83">
        <f>14520277846/1000000</f>
        <v>14520.277846000001</v>
      </c>
      <c r="J29" s="83">
        <f>19321377447/1000000</f>
        <v>19321.377446999999</v>
      </c>
      <c r="K29" s="83">
        <v>22174.545943000001</v>
      </c>
      <c r="L29" s="104">
        <v>23166.850788</v>
      </c>
      <c r="M29" s="104">
        <v>26648.409281279997</v>
      </c>
      <c r="N29" s="104">
        <v>31102.091156349998</v>
      </c>
      <c r="O29" s="104">
        <v>31134.61298356</v>
      </c>
      <c r="P29" s="105">
        <v>18624.689581999999</v>
      </c>
      <c r="Q29" s="105">
        <f>'Detalle por sesión'!$X$41/1000000</f>
        <v>16778.54430705</v>
      </c>
      <c r="R29" s="10"/>
      <c r="S29" s="101" t="s">
        <v>10</v>
      </c>
      <c r="T29" s="83">
        <f>+Tabla4[[#This Row],[2005]]-B28</f>
        <v>635</v>
      </c>
      <c r="U29" s="83">
        <f>+Tabla4[[#This Row],[2006]]-C28</f>
        <v>803</v>
      </c>
      <c r="V29" s="83">
        <f>+Tabla4[[#This Row],[2007]]-D28</f>
        <v>1087</v>
      </c>
      <c r="W29" s="83">
        <f>+Tabla4[[#This Row],[2008]]-E28</f>
        <v>1995</v>
      </c>
      <c r="X29" s="83">
        <v>3601.4439999999995</v>
      </c>
      <c r="Y29" s="83">
        <f>+Tabla4[[#This Row],[2010]]-G28</f>
        <v>2468.4320000000007</v>
      </c>
      <c r="Z29" s="83">
        <v>0</v>
      </c>
      <c r="AA29" s="83">
        <f>+Tabla4[[#This Row],[2012]]-I28</f>
        <v>1007.7895500000013</v>
      </c>
      <c r="AB29" s="83">
        <f>+Tabla4[[#This Row],[2013]]-J28</f>
        <v>1731.9154759999983</v>
      </c>
      <c r="AC29" s="83">
        <v>3083.3414750000011</v>
      </c>
      <c r="AD29" s="104">
        <f>(+Tabla4[[#This Row],[2015]]-L28)</f>
        <v>2228.6138409999985</v>
      </c>
      <c r="AE29" s="104">
        <v>3072.5640910000002</v>
      </c>
      <c r="AF29" s="104">
        <v>2849.2903289999995</v>
      </c>
      <c r="AG29" s="104">
        <v>3463.8768249999998</v>
      </c>
      <c r="AH29" s="105">
        <f>+Tabla4[[#This Row],[2019]]-AH28-AH27-AH26-AH25-AH24-AH23-AH22-AH21</f>
        <v>609.92838299999858</v>
      </c>
      <c r="AI29" s="105">
        <f>Tabla4[[#This Row],[2020]]-$AI$28-$AI$27-$AI$26-$AI$25-$AI$24-$AI$23-$AI$22-$AI$21</f>
        <v>1351.7793530000022</v>
      </c>
    </row>
    <row r="30" spans="1:35" x14ac:dyDescent="0.2">
      <c r="A30" s="101" t="s">
        <v>11</v>
      </c>
      <c r="B30" s="101">
        <v>6503</v>
      </c>
      <c r="C30" s="83">
        <v>7935</v>
      </c>
      <c r="D30" s="83">
        <v>10779</v>
      </c>
      <c r="E30" s="83">
        <v>17895</v>
      </c>
      <c r="F30" s="83">
        <v>27484</v>
      </c>
      <c r="G30" s="83">
        <v>32990</v>
      </c>
      <c r="H30" s="83">
        <v>16681</v>
      </c>
      <c r="I30" s="83">
        <f>15148824476/1000000</f>
        <v>15148.824476</v>
      </c>
      <c r="J30" s="83">
        <f>20393</f>
        <v>20393</v>
      </c>
      <c r="K30" s="83">
        <v>23633.298510000001</v>
      </c>
      <c r="L30" s="104">
        <v>24620.358595999998</v>
      </c>
      <c r="M30" s="104">
        <v>30106.825644279998</v>
      </c>
      <c r="N30" s="104">
        <v>33856.245150050003</v>
      </c>
      <c r="O30" s="104">
        <v>34797.054363559997</v>
      </c>
      <c r="P30" s="105">
        <v>18826.195984000002</v>
      </c>
      <c r="Q30" s="105">
        <f>'Detalle por sesión'!$X$46/1000000</f>
        <v>18738.60115205</v>
      </c>
      <c r="R30" s="10"/>
      <c r="S30" s="101" t="s">
        <v>11</v>
      </c>
      <c r="T30" s="83">
        <f>+Tabla4[[#This Row],[2005]]-B29</f>
        <v>318</v>
      </c>
      <c r="U30" s="83">
        <f>+Tabla4[[#This Row],[2006]]-C29</f>
        <v>640</v>
      </c>
      <c r="V30" s="83">
        <f>+Tabla4[[#This Row],[2007]]-D29</f>
        <v>759</v>
      </c>
      <c r="W30" s="83">
        <f>+Tabla4[[#This Row],[2008]]-E29</f>
        <v>902</v>
      </c>
      <c r="X30" s="83">
        <v>2200.5560000000005</v>
      </c>
      <c r="Y30" s="83">
        <f>+Tabla4[[#This Row],[2010]]-G29</f>
        <v>2157.0089999999982</v>
      </c>
      <c r="Z30" s="83">
        <v>0</v>
      </c>
      <c r="AA30" s="83">
        <f>+Tabla4[[#This Row],[2012]]-I29</f>
        <v>628.54662999999891</v>
      </c>
      <c r="AB30" s="83">
        <f>+Tabla4[[#This Row],[2013]]-J29</f>
        <v>1071.6225530000011</v>
      </c>
      <c r="AC30" s="83">
        <v>1458.7525669999995</v>
      </c>
      <c r="AD30" s="104">
        <f>(+Tabla4[[#This Row],[2015]]-L29)</f>
        <v>1453.5078079999985</v>
      </c>
      <c r="AE30" s="104">
        <v>3458.4163630000003</v>
      </c>
      <c r="AF30" s="104">
        <v>2754.1539937000052</v>
      </c>
      <c r="AG30" s="104">
        <v>3662.441379999997</v>
      </c>
      <c r="AH30" s="105">
        <f>+Tabla4[[#This Row],[2019]]-AH29-AH28-AH27-AH26-AH25-AH24-AH23-AH22-AH21</f>
        <v>201.50640200000271</v>
      </c>
      <c r="AI30" s="105">
        <f>Tabla4[[#This Row],[2020]]-$AI$29-$AI$28-$AI$27-$AI$26-$AI$25-$AI$24-$AI$23-$AI$22-$AI$21</f>
        <v>1960.0568449999996</v>
      </c>
    </row>
    <row r="31" spans="1:35" s="25" customFormat="1" x14ac:dyDescent="0.2">
      <c r="A31" s="103" t="s">
        <v>12</v>
      </c>
      <c r="B31" s="103">
        <v>6976</v>
      </c>
      <c r="C31" s="84">
        <v>8367</v>
      </c>
      <c r="D31" s="84">
        <v>11445</v>
      </c>
      <c r="E31" s="84">
        <v>18830</v>
      </c>
      <c r="F31" s="84">
        <f>29301306/1000</f>
        <v>29301.306</v>
      </c>
      <c r="G31" s="84">
        <v>34384</v>
      </c>
      <c r="H31" s="84">
        <v>16681</v>
      </c>
      <c r="I31" s="84">
        <v>15321.728075999999</v>
      </c>
      <c r="J31" s="84">
        <v>21246</v>
      </c>
      <c r="K31" s="84">
        <v>24411.414508999998</v>
      </c>
      <c r="L31" s="106">
        <v>25683.384633000001</v>
      </c>
      <c r="M31" s="106">
        <v>31985.01602128</v>
      </c>
      <c r="N31" s="106">
        <v>36059.244207050004</v>
      </c>
      <c r="O31" s="106">
        <v>36999.928799559995</v>
      </c>
      <c r="P31" s="107">
        <v>19065.441274000001</v>
      </c>
      <c r="Q31" s="107">
        <f>'Detalle por sesión'!$X$50/1000000</f>
        <v>19813.338560050001</v>
      </c>
      <c r="R31" s="78"/>
      <c r="S31" s="103" t="s">
        <v>12</v>
      </c>
      <c r="T31" s="84">
        <f>+Tabla4[[#This Row],[2005]]-B30</f>
        <v>473</v>
      </c>
      <c r="U31" s="84">
        <f>+Tabla4[[#This Row],[2006]]-C30</f>
        <v>432</v>
      </c>
      <c r="V31" s="84">
        <f>+Tabla4[[#This Row],[2007]]-D30</f>
        <v>666</v>
      </c>
      <c r="W31" s="84">
        <f>+Tabla4[[#This Row],[2008]]-E30</f>
        <v>935</v>
      </c>
      <c r="X31" s="84">
        <v>1817.3060000000005</v>
      </c>
      <c r="Y31" s="84">
        <f>+Tabla4[[#This Row],[2010]]-G30</f>
        <v>1394</v>
      </c>
      <c r="Z31" s="84">
        <v>0</v>
      </c>
      <c r="AA31" s="84">
        <f>+Tabla4[[#This Row],[2012]]-I30</f>
        <v>172.90359999999964</v>
      </c>
      <c r="AB31" s="84">
        <f>+Tabla4[[#This Row],[2013]]-J30</f>
        <v>853</v>
      </c>
      <c r="AC31" s="84">
        <v>778.11599899999783</v>
      </c>
      <c r="AD31" s="106">
        <f>(+Tabla4[[#This Row],[2015]]-L30)</f>
        <v>1063.0260370000033</v>
      </c>
      <c r="AE31" s="106">
        <v>1878.1903770000026</v>
      </c>
      <c r="AF31" s="106">
        <v>2202.9990570000009</v>
      </c>
      <c r="AG31" s="106">
        <v>2202.8744359999987</v>
      </c>
      <c r="AH31" s="107">
        <f>+Tabla4[[#This Row],[2019]]-AH30-AH29-AH28-AH27-AH26-AH25-AH24-AH23-AH22-AH21</f>
        <v>239.24528999999893</v>
      </c>
      <c r="AI31" s="107">
        <f>Tabla4[[#This Row],[2020]]-$AI$30-$AI$29-$AI$28-$AI$27-$AI$26-$AI$25-$AI$24-$AI$23-$AI$22-$AI$21</f>
        <v>1074.7374080000013</v>
      </c>
    </row>
    <row r="32" spans="1:35" x14ac:dyDescent="0.2">
      <c r="A32" s="101" t="s">
        <v>13</v>
      </c>
      <c r="B32" s="101">
        <v>7297</v>
      </c>
      <c r="C32" s="83">
        <v>8991</v>
      </c>
      <c r="D32" s="83">
        <v>12465</v>
      </c>
      <c r="E32" s="83">
        <v>20031</v>
      </c>
      <c r="F32" s="83">
        <v>31014</v>
      </c>
      <c r="G32" s="83">
        <v>34531</v>
      </c>
      <c r="H32" s="83">
        <v>16681</v>
      </c>
      <c r="I32" s="83">
        <f>15351849186/1000000</f>
        <v>15351.849185999999</v>
      </c>
      <c r="J32" s="83">
        <f>21401681315/1000000</f>
        <v>21401.681315000002</v>
      </c>
      <c r="K32" s="83">
        <v>25000.415454999998</v>
      </c>
      <c r="L32" s="104">
        <v>26097.861560000001</v>
      </c>
      <c r="M32" s="104">
        <v>32650.701784279998</v>
      </c>
      <c r="N32" s="104">
        <v>36961.651211050004</v>
      </c>
      <c r="O32" s="106">
        <v>36999.928799559995</v>
      </c>
      <c r="P32" s="107">
        <v>19065.441274000001</v>
      </c>
      <c r="Q32" s="107">
        <f>'Detalle por sesión'!$X$52/1000000</f>
        <v>20386.412346049998</v>
      </c>
      <c r="R32" s="10"/>
      <c r="S32" s="101" t="s">
        <v>13</v>
      </c>
      <c r="T32" s="83">
        <f>+Tabla4[[#This Row],[2005]]-B31</f>
        <v>321</v>
      </c>
      <c r="U32" s="83">
        <f>+Tabla4[[#This Row],[2006]]-C31</f>
        <v>624</v>
      </c>
      <c r="V32" s="83">
        <f>+Tabla4[[#This Row],[2007]]-D31</f>
        <v>1020</v>
      </c>
      <c r="W32" s="83">
        <f>+Tabla4[[#This Row],[2008]]-E31</f>
        <v>1201</v>
      </c>
      <c r="X32" s="83">
        <v>1712.6939999999995</v>
      </c>
      <c r="Y32" s="83">
        <f>+Tabla4[[#This Row],[2010]]-G31</f>
        <v>147</v>
      </c>
      <c r="Z32" s="83">
        <v>0</v>
      </c>
      <c r="AA32" s="83">
        <f>+Tabla4[[#This Row],[2012]]-I31</f>
        <v>30.121110000000044</v>
      </c>
      <c r="AB32" s="83">
        <f>+Tabla4[[#This Row],[2013]]-J31</f>
        <v>155.68131500000163</v>
      </c>
      <c r="AC32" s="83">
        <v>589.00094600000011</v>
      </c>
      <c r="AD32" s="104">
        <f>(+Tabla4[[#This Row],[2015]]-L31)</f>
        <v>414.47692699999971</v>
      </c>
      <c r="AE32" s="104">
        <v>665.68576299999768</v>
      </c>
      <c r="AF32" s="104">
        <v>902.4070040000006</v>
      </c>
      <c r="AG32" s="106">
        <v>0</v>
      </c>
      <c r="AH32" s="107">
        <v>0</v>
      </c>
      <c r="AI32" s="150">
        <f>Tabla4[[#This Row],[2020]]-$AI$31-$AI$30-$AI$29-$AI$28-$AI$27-$AI$26-$AI$25-$AI$24-$AI$23-$AI$22-$AI$21</f>
        <v>573.07378599999811</v>
      </c>
    </row>
    <row r="33" spans="2:35" x14ac:dyDescent="0.2">
      <c r="S33" s="101" t="s">
        <v>22</v>
      </c>
      <c r="T33" s="83">
        <f t="shared" ref="T33:AA33" si="1">SUBTOTAL(109,T21:T32)</f>
        <v>7297</v>
      </c>
      <c r="U33" s="83">
        <f t="shared" si="1"/>
        <v>8991</v>
      </c>
      <c r="V33" s="83">
        <f t="shared" si="1"/>
        <v>12465</v>
      </c>
      <c r="W33" s="83">
        <f t="shared" si="1"/>
        <v>20031</v>
      </c>
      <c r="X33" s="83">
        <f t="shared" si="1"/>
        <v>31014</v>
      </c>
      <c r="Y33" s="83">
        <f t="shared" si="1"/>
        <v>34531</v>
      </c>
      <c r="Z33" s="83">
        <f t="shared" si="1"/>
        <v>16681</v>
      </c>
      <c r="AA33" s="83">
        <f t="shared" si="1"/>
        <v>15351.849185999999</v>
      </c>
      <c r="AB33" s="83">
        <f>SUBTOTAL(109,AB21:AB32)</f>
        <v>21401.681315000002</v>
      </c>
      <c r="AC33" s="83">
        <v>25000.415454999998</v>
      </c>
      <c r="AD33" s="104">
        <f>SUBTOTAL(109,AD21:AD32)</f>
        <v>26097.861560000001</v>
      </c>
      <c r="AE33" s="104">
        <v>32650.701784279998</v>
      </c>
      <c r="AF33" s="104">
        <v>36961.651211050004</v>
      </c>
      <c r="AG33" s="104">
        <v>36961.651211050004</v>
      </c>
      <c r="AH33" s="105">
        <f>SUBTOTAL(109,AH21:AH32)</f>
        <v>19065.441274000001</v>
      </c>
      <c r="AI33" s="105">
        <f>SUM(AI21:AI32)</f>
        <v>20386.412346049998</v>
      </c>
    </row>
    <row r="38" spans="2:35" x14ac:dyDescent="0.2">
      <c r="B38" s="11"/>
      <c r="C38" s="11"/>
      <c r="U38" s="5"/>
    </row>
    <row r="50" spans="1:21" x14ac:dyDescent="0.2">
      <c r="B50" s="11"/>
      <c r="C50" s="11"/>
      <c r="D50" s="11"/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U50" s="5"/>
    </row>
    <row r="54" spans="1:21" x14ac:dyDescent="0.2">
      <c r="B54" s="11"/>
      <c r="C54" s="11"/>
      <c r="D54" s="11"/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U54" s="5"/>
    </row>
    <row r="56" spans="1:21" x14ac:dyDescent="0.2">
      <c r="A56" s="13" t="s">
        <v>2</v>
      </c>
      <c r="B56" s="14" t="s">
        <v>14</v>
      </c>
      <c r="C56" s="14" t="s">
        <v>15</v>
      </c>
      <c r="D56" s="14" t="s">
        <v>16</v>
      </c>
      <c r="E56" s="14" t="s">
        <v>17</v>
      </c>
      <c r="F56" s="15" t="s">
        <v>18</v>
      </c>
      <c r="G56" s="16"/>
      <c r="H56" s="16"/>
      <c r="I56" s="16"/>
      <c r="J56" s="16"/>
      <c r="K56" s="16"/>
      <c r="L56" s="16"/>
      <c r="U56" s="5"/>
    </row>
    <row r="57" spans="1:21" x14ac:dyDescent="0.2">
      <c r="A57" s="17" t="s">
        <v>7</v>
      </c>
      <c r="B57" s="18">
        <v>2129</v>
      </c>
      <c r="C57" s="18">
        <v>2306</v>
      </c>
      <c r="D57" s="18">
        <v>2659</v>
      </c>
      <c r="E57" s="18">
        <v>3465</v>
      </c>
      <c r="F57" s="19">
        <v>4529</v>
      </c>
      <c r="G57" s="20"/>
      <c r="H57" s="20"/>
      <c r="I57" s="20"/>
      <c r="J57" s="20"/>
      <c r="K57" s="20"/>
      <c r="L57" s="20"/>
      <c r="U57" s="5"/>
    </row>
    <row r="58" spans="1:21" x14ac:dyDescent="0.2">
      <c r="E58" s="5">
        <f>+F57/D57</f>
        <v>1.703271906731854</v>
      </c>
      <c r="F58" s="5">
        <f>+F57/E57</f>
        <v>1.307070707070707</v>
      </c>
      <c r="U58" s="5"/>
    </row>
    <row r="59" spans="1:21" x14ac:dyDescent="0.2">
      <c r="E59" s="11">
        <f>+E58-1</f>
        <v>0.70327190673185402</v>
      </c>
      <c r="F59" s="11">
        <f>+F58-1</f>
        <v>0.30707070707070705</v>
      </c>
      <c r="G59" s="11"/>
      <c r="H59" s="11"/>
      <c r="I59" s="11"/>
      <c r="J59" s="11"/>
      <c r="K59" s="11"/>
      <c r="L59" s="11"/>
      <c r="U59" s="5"/>
    </row>
    <row r="62" spans="1:21" x14ac:dyDescent="0.2">
      <c r="F62" s="11"/>
      <c r="G62" s="11"/>
      <c r="H62" s="11"/>
      <c r="I62" s="11"/>
      <c r="J62" s="11"/>
      <c r="K62" s="11"/>
      <c r="L62" s="11"/>
      <c r="U62" s="5"/>
    </row>
    <row r="63" spans="1:21" x14ac:dyDescent="0.2">
      <c r="F63" s="11"/>
      <c r="G63" s="11"/>
      <c r="H63" s="11"/>
      <c r="I63" s="11"/>
      <c r="J63" s="11"/>
      <c r="K63" s="11"/>
      <c r="L63" s="11"/>
      <c r="U63" s="5"/>
    </row>
    <row r="64" spans="1:21" x14ac:dyDescent="0.2">
      <c r="F64" s="11"/>
      <c r="G64" s="11"/>
      <c r="H64" s="11"/>
      <c r="I64" s="11"/>
      <c r="J64" s="11"/>
      <c r="K64" s="11"/>
      <c r="L64" s="11"/>
      <c r="U64" s="5"/>
    </row>
    <row r="65" spans="6:21" x14ac:dyDescent="0.2">
      <c r="F65" s="11"/>
      <c r="G65" s="11"/>
      <c r="H65" s="11"/>
      <c r="I65" s="11"/>
      <c r="J65" s="11"/>
      <c r="K65" s="11"/>
      <c r="L65" s="11"/>
      <c r="U65" s="5"/>
    </row>
    <row r="66" spans="6:21" x14ac:dyDescent="0.2">
      <c r="F66" s="11"/>
      <c r="G66" s="11"/>
      <c r="H66" s="11"/>
      <c r="I66" s="11"/>
      <c r="J66" s="11"/>
      <c r="K66" s="11"/>
      <c r="L66" s="11"/>
      <c r="U66" s="5"/>
    </row>
    <row r="67" spans="6:21" x14ac:dyDescent="0.2">
      <c r="F67" s="11"/>
      <c r="G67" s="11"/>
      <c r="H67" s="11"/>
      <c r="I67" s="11"/>
      <c r="J67" s="11"/>
      <c r="K67" s="11"/>
      <c r="L67" s="11"/>
      <c r="U67" s="5"/>
    </row>
    <row r="68" spans="6:21" x14ac:dyDescent="0.2">
      <c r="F68" s="11"/>
      <c r="G68" s="11"/>
      <c r="H68" s="11"/>
      <c r="I68" s="11"/>
      <c r="J68" s="11"/>
      <c r="K68" s="11"/>
      <c r="L68" s="11"/>
      <c r="U68" s="5"/>
    </row>
    <row r="69" spans="6:21" x14ac:dyDescent="0.2">
      <c r="F69" s="11"/>
      <c r="G69" s="11"/>
      <c r="H69" s="11"/>
      <c r="I69" s="11"/>
      <c r="J69" s="11"/>
      <c r="K69" s="11"/>
      <c r="L69" s="11"/>
      <c r="U69" s="5"/>
    </row>
    <row r="70" spans="6:21" x14ac:dyDescent="0.2">
      <c r="F70" s="11"/>
      <c r="G70" s="11"/>
      <c r="H70" s="11"/>
      <c r="I70" s="11"/>
      <c r="J70" s="11"/>
      <c r="K70" s="11"/>
      <c r="L70" s="11"/>
      <c r="U70" s="5"/>
    </row>
    <row r="71" spans="6:21" x14ac:dyDescent="0.2">
      <c r="F71" s="11"/>
      <c r="G71" s="11"/>
      <c r="H71" s="11"/>
      <c r="I71" s="11"/>
      <c r="J71" s="11"/>
      <c r="K71" s="11"/>
      <c r="L71" s="11"/>
      <c r="U71" s="5"/>
    </row>
    <row r="72" spans="6:21" x14ac:dyDescent="0.2">
      <c r="F72" s="11"/>
      <c r="G72" s="11"/>
      <c r="H72" s="11"/>
      <c r="I72" s="11"/>
      <c r="J72" s="11"/>
      <c r="K72" s="11"/>
      <c r="L72" s="11"/>
      <c r="U72" s="5"/>
    </row>
    <row r="73" spans="6:21" x14ac:dyDescent="0.2">
      <c r="F73" s="11"/>
      <c r="G73" s="11"/>
      <c r="H73" s="11"/>
      <c r="I73" s="11"/>
      <c r="J73" s="11"/>
      <c r="K73" s="11"/>
      <c r="L73" s="11"/>
      <c r="U73" s="5"/>
    </row>
    <row r="74" spans="6:21" x14ac:dyDescent="0.2">
      <c r="F74" s="11"/>
      <c r="G74" s="11"/>
      <c r="H74" s="11"/>
      <c r="I74" s="11"/>
      <c r="J74" s="11"/>
      <c r="K74" s="11"/>
      <c r="L74" s="11"/>
      <c r="U74" s="5"/>
    </row>
    <row r="75" spans="6:21" x14ac:dyDescent="0.2">
      <c r="F75" s="11"/>
      <c r="G75" s="11"/>
      <c r="H75" s="11"/>
      <c r="I75" s="11"/>
      <c r="J75" s="11"/>
      <c r="K75" s="11"/>
      <c r="L75" s="11"/>
      <c r="U75" s="5"/>
    </row>
    <row r="83" spans="1:21" x14ac:dyDescent="0.2">
      <c r="A83" s="13" t="s">
        <v>0</v>
      </c>
      <c r="B83" s="14" t="s">
        <v>14</v>
      </c>
      <c r="C83" s="14" t="s">
        <v>15</v>
      </c>
      <c r="D83" s="14" t="s">
        <v>16</v>
      </c>
      <c r="E83" s="14" t="s">
        <v>17</v>
      </c>
      <c r="F83" s="15" t="s">
        <v>18</v>
      </c>
      <c r="G83" s="16"/>
      <c r="H83" s="16"/>
      <c r="I83" s="16"/>
      <c r="J83" s="16"/>
      <c r="K83" s="16"/>
      <c r="L83" s="16"/>
      <c r="U83" s="5"/>
    </row>
    <row r="84" spans="1:21" x14ac:dyDescent="0.2">
      <c r="A84" s="17" t="s">
        <v>7</v>
      </c>
      <c r="B84" s="21">
        <v>2744.4936567</v>
      </c>
      <c r="C84" s="21">
        <v>3262.9090169000001</v>
      </c>
      <c r="D84" s="21">
        <v>3907.3155794500003</v>
      </c>
      <c r="E84" s="21">
        <v>5413.9660672500004</v>
      </c>
      <c r="F84" s="21">
        <v>8025.2711485</v>
      </c>
      <c r="G84" s="22"/>
      <c r="H84" s="22"/>
      <c r="I84" s="22"/>
      <c r="J84" s="22"/>
      <c r="K84" s="22"/>
      <c r="L84" s="22"/>
      <c r="U84" s="5"/>
    </row>
    <row r="85" spans="1:21" x14ac:dyDescent="0.2">
      <c r="C85" s="5">
        <f>+F84/B84</f>
        <v>2.9241354334735998</v>
      </c>
      <c r="D85" s="5">
        <f>+F84/C84</f>
        <v>2.459544874507285</v>
      </c>
      <c r="E85" s="5">
        <f>+F84/D84</f>
        <v>2.0539091315551352</v>
      </c>
      <c r="F85" s="5">
        <f>+F84/E84</f>
        <v>1.4823275670392961</v>
      </c>
      <c r="U85" s="5"/>
    </row>
    <row r="86" spans="1:21" x14ac:dyDescent="0.2">
      <c r="C86" s="11">
        <f>+C85-1</f>
        <v>1.9241354334735998</v>
      </c>
      <c r="D86" s="11">
        <f>+D85-1</f>
        <v>1.459544874507285</v>
      </c>
      <c r="E86" s="11">
        <f>+E85-1</f>
        <v>1.0539091315551352</v>
      </c>
      <c r="F86" s="11">
        <f>+F85-1</f>
        <v>0.48232756703929613</v>
      </c>
      <c r="G86" s="11"/>
      <c r="H86" s="11"/>
      <c r="I86" s="11"/>
      <c r="J86" s="11"/>
      <c r="K86" s="11"/>
      <c r="L86" s="11"/>
      <c r="U86" s="5"/>
    </row>
  </sheetData>
  <sheetProtection formatCells="0" formatColumns="0" sort="0" autoFilter="0"/>
  <protectedRanges>
    <protectedRange sqref="L21:L32 AD21:AD32 AD5:AD16 L5:L16" name="Rango1"/>
    <protectedRange sqref="N5:N16 Q21:Q32 P5:Q16" name="Rango1_2"/>
    <protectedRange sqref="O5:O16" name="Rango1_2_1"/>
  </protectedRanges>
  <mergeCells count="6">
    <mergeCell ref="A19:P19"/>
    <mergeCell ref="S19:AH19"/>
    <mergeCell ref="A3:P3"/>
    <mergeCell ref="S3:AH3"/>
    <mergeCell ref="A2:P2"/>
    <mergeCell ref="S2:AH2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  <rowBreaks count="1" manualBreakCount="1">
    <brk id="34" max="16383" man="1"/>
  </rowBreaks>
  <ignoredErrors>
    <ignoredError sqref="AH22 AH23:AH26" calculatedColumn="1"/>
  </ignoredErrors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9"/>
  <sheetViews>
    <sheetView tabSelected="1" zoomScale="110" zoomScaleNormal="110" zoomScaleSheetLayoutView="110" zoomScalePageLayoutView="50" workbookViewId="0">
      <selection activeCell="L94" sqref="L94"/>
    </sheetView>
  </sheetViews>
  <sheetFormatPr baseColWidth="10" defaultRowHeight="16.5" x14ac:dyDescent="0.3"/>
  <cols>
    <col min="1" max="1" width="15.28515625" style="27" customWidth="1"/>
    <col min="2" max="2" width="15.42578125" style="27" customWidth="1"/>
    <col min="3" max="3" width="12.28515625" style="27" bestFit="1" customWidth="1"/>
    <col min="4" max="4" width="12.28515625" style="27" customWidth="1"/>
    <col min="5" max="5" width="14.85546875" style="27" customWidth="1"/>
    <col min="6" max="6" width="16.5703125" style="27" customWidth="1"/>
    <col min="7" max="7" width="12.28515625" style="27" bestFit="1" customWidth="1"/>
    <col min="8" max="8" width="9.5703125" style="27" customWidth="1"/>
    <col min="9" max="9" width="13.28515625" style="27" bestFit="1" customWidth="1"/>
    <col min="10" max="10" width="15.7109375" style="27" customWidth="1"/>
    <col min="11" max="11" width="8.42578125" style="27" customWidth="1"/>
    <col min="12" max="12" width="9.140625" style="27" bestFit="1" customWidth="1"/>
    <col min="13" max="13" width="11.5703125" style="27"/>
    <col min="14" max="14" width="12.28515625" style="27" bestFit="1" customWidth="1"/>
    <col min="15" max="253" width="11.5703125" style="27"/>
    <col min="254" max="254" width="3" style="27" customWidth="1"/>
    <col min="255" max="255" width="17.5703125" style="27" customWidth="1"/>
    <col min="256" max="256" width="13.5703125" style="27" bestFit="1" customWidth="1"/>
    <col min="257" max="257" width="16.5703125" style="27" bestFit="1" customWidth="1"/>
    <col min="258" max="258" width="9.28515625" style="27" bestFit="1" customWidth="1"/>
    <col min="259" max="260" width="17.5703125" style="27" bestFit="1" customWidth="1"/>
    <col min="261" max="261" width="9.28515625" style="27" bestFit="1" customWidth="1"/>
    <col min="262" max="262" width="1.42578125" style="27" customWidth="1"/>
    <col min="263" max="263" width="8.28515625" style="27" bestFit="1" customWidth="1"/>
    <col min="264" max="264" width="16.5703125" style="27" bestFit="1" customWidth="1"/>
    <col min="265" max="265" width="1.7109375" style="27" customWidth="1"/>
    <col min="266" max="266" width="8.140625" style="27" bestFit="1" customWidth="1"/>
    <col min="267" max="267" width="12.85546875" style="27" bestFit="1" customWidth="1"/>
    <col min="268" max="509" width="11.5703125" style="27"/>
    <col min="510" max="510" width="3" style="27" customWidth="1"/>
    <col min="511" max="511" width="17.5703125" style="27" customWidth="1"/>
    <col min="512" max="512" width="13.5703125" style="27" bestFit="1" customWidth="1"/>
    <col min="513" max="513" width="16.5703125" style="27" bestFit="1" customWidth="1"/>
    <col min="514" max="514" width="9.28515625" style="27" bestFit="1" customWidth="1"/>
    <col min="515" max="516" width="17.5703125" style="27" bestFit="1" customWidth="1"/>
    <col min="517" max="517" width="9.28515625" style="27" bestFit="1" customWidth="1"/>
    <col min="518" max="518" width="1.42578125" style="27" customWidth="1"/>
    <col min="519" max="519" width="8.28515625" style="27" bestFit="1" customWidth="1"/>
    <col min="520" max="520" width="16.5703125" style="27" bestFit="1" customWidth="1"/>
    <col min="521" max="521" width="1.7109375" style="27" customWidth="1"/>
    <col min="522" max="522" width="8.140625" style="27" bestFit="1" customWidth="1"/>
    <col min="523" max="523" width="12.85546875" style="27" bestFit="1" customWidth="1"/>
    <col min="524" max="765" width="11.5703125" style="27"/>
    <col min="766" max="766" width="3" style="27" customWidth="1"/>
    <col min="767" max="767" width="17.5703125" style="27" customWidth="1"/>
    <col min="768" max="768" width="13.5703125" style="27" bestFit="1" customWidth="1"/>
    <col min="769" max="769" width="16.5703125" style="27" bestFit="1" customWidth="1"/>
    <col min="770" max="770" width="9.28515625" style="27" bestFit="1" customWidth="1"/>
    <col min="771" max="772" width="17.5703125" style="27" bestFit="1" customWidth="1"/>
    <col min="773" max="773" width="9.28515625" style="27" bestFit="1" customWidth="1"/>
    <col min="774" max="774" width="1.42578125" style="27" customWidth="1"/>
    <col min="775" max="775" width="8.28515625" style="27" bestFit="1" customWidth="1"/>
    <col min="776" max="776" width="16.5703125" style="27" bestFit="1" customWidth="1"/>
    <col min="777" max="777" width="1.7109375" style="27" customWidth="1"/>
    <col min="778" max="778" width="8.140625" style="27" bestFit="1" customWidth="1"/>
    <col min="779" max="779" width="12.85546875" style="27" bestFit="1" customWidth="1"/>
    <col min="780" max="1021" width="11.5703125" style="27"/>
    <col min="1022" max="1022" width="3" style="27" customWidth="1"/>
    <col min="1023" max="1023" width="17.5703125" style="27" customWidth="1"/>
    <col min="1024" max="1024" width="13.5703125" style="27" bestFit="1" customWidth="1"/>
    <col min="1025" max="1025" width="16.5703125" style="27" bestFit="1" customWidth="1"/>
    <col min="1026" max="1026" width="9.28515625" style="27" bestFit="1" customWidth="1"/>
    <col min="1027" max="1028" width="17.5703125" style="27" bestFit="1" customWidth="1"/>
    <col min="1029" max="1029" width="9.28515625" style="27" bestFit="1" customWidth="1"/>
    <col min="1030" max="1030" width="1.42578125" style="27" customWidth="1"/>
    <col min="1031" max="1031" width="8.28515625" style="27" bestFit="1" customWidth="1"/>
    <col min="1032" max="1032" width="16.5703125" style="27" bestFit="1" customWidth="1"/>
    <col min="1033" max="1033" width="1.7109375" style="27" customWidth="1"/>
    <col min="1034" max="1034" width="8.140625" style="27" bestFit="1" customWidth="1"/>
    <col min="1035" max="1035" width="12.85546875" style="27" bestFit="1" customWidth="1"/>
    <col min="1036" max="1277" width="11.5703125" style="27"/>
    <col min="1278" max="1278" width="3" style="27" customWidth="1"/>
    <col min="1279" max="1279" width="17.5703125" style="27" customWidth="1"/>
    <col min="1280" max="1280" width="13.5703125" style="27" bestFit="1" customWidth="1"/>
    <col min="1281" max="1281" width="16.5703125" style="27" bestFit="1" customWidth="1"/>
    <col min="1282" max="1282" width="9.28515625" style="27" bestFit="1" customWidth="1"/>
    <col min="1283" max="1284" width="17.5703125" style="27" bestFit="1" customWidth="1"/>
    <col min="1285" max="1285" width="9.28515625" style="27" bestFit="1" customWidth="1"/>
    <col min="1286" max="1286" width="1.42578125" style="27" customWidth="1"/>
    <col min="1287" max="1287" width="8.28515625" style="27" bestFit="1" customWidth="1"/>
    <col min="1288" max="1288" width="16.5703125" style="27" bestFit="1" customWidth="1"/>
    <col min="1289" max="1289" width="1.7109375" style="27" customWidth="1"/>
    <col min="1290" max="1290" width="8.140625" style="27" bestFit="1" customWidth="1"/>
    <col min="1291" max="1291" width="12.85546875" style="27" bestFit="1" customWidth="1"/>
    <col min="1292" max="1533" width="11.5703125" style="27"/>
    <col min="1534" max="1534" width="3" style="27" customWidth="1"/>
    <col min="1535" max="1535" width="17.5703125" style="27" customWidth="1"/>
    <col min="1536" max="1536" width="13.5703125" style="27" bestFit="1" customWidth="1"/>
    <col min="1537" max="1537" width="16.5703125" style="27" bestFit="1" customWidth="1"/>
    <col min="1538" max="1538" width="9.28515625" style="27" bestFit="1" customWidth="1"/>
    <col min="1539" max="1540" width="17.5703125" style="27" bestFit="1" customWidth="1"/>
    <col min="1541" max="1541" width="9.28515625" style="27" bestFit="1" customWidth="1"/>
    <col min="1542" max="1542" width="1.42578125" style="27" customWidth="1"/>
    <col min="1543" max="1543" width="8.28515625" style="27" bestFit="1" customWidth="1"/>
    <col min="1544" max="1544" width="16.5703125" style="27" bestFit="1" customWidth="1"/>
    <col min="1545" max="1545" width="1.7109375" style="27" customWidth="1"/>
    <col min="1546" max="1546" width="8.140625" style="27" bestFit="1" customWidth="1"/>
    <col min="1547" max="1547" width="12.85546875" style="27" bestFit="1" customWidth="1"/>
    <col min="1548" max="1789" width="11.5703125" style="27"/>
    <col min="1790" max="1790" width="3" style="27" customWidth="1"/>
    <col min="1791" max="1791" width="17.5703125" style="27" customWidth="1"/>
    <col min="1792" max="1792" width="13.5703125" style="27" bestFit="1" customWidth="1"/>
    <col min="1793" max="1793" width="16.5703125" style="27" bestFit="1" customWidth="1"/>
    <col min="1794" max="1794" width="9.28515625" style="27" bestFit="1" customWidth="1"/>
    <col min="1795" max="1796" width="17.5703125" style="27" bestFit="1" customWidth="1"/>
    <col min="1797" max="1797" width="9.28515625" style="27" bestFit="1" customWidth="1"/>
    <col min="1798" max="1798" width="1.42578125" style="27" customWidth="1"/>
    <col min="1799" max="1799" width="8.28515625" style="27" bestFit="1" customWidth="1"/>
    <col min="1800" max="1800" width="16.5703125" style="27" bestFit="1" customWidth="1"/>
    <col min="1801" max="1801" width="1.7109375" style="27" customWidth="1"/>
    <col min="1802" max="1802" width="8.140625" style="27" bestFit="1" customWidth="1"/>
    <col min="1803" max="1803" width="12.85546875" style="27" bestFit="1" customWidth="1"/>
    <col min="1804" max="2045" width="11.5703125" style="27"/>
    <col min="2046" max="2046" width="3" style="27" customWidth="1"/>
    <col min="2047" max="2047" width="17.5703125" style="27" customWidth="1"/>
    <col min="2048" max="2048" width="13.5703125" style="27" bestFit="1" customWidth="1"/>
    <col min="2049" max="2049" width="16.5703125" style="27" bestFit="1" customWidth="1"/>
    <col min="2050" max="2050" width="9.28515625" style="27" bestFit="1" customWidth="1"/>
    <col min="2051" max="2052" width="17.5703125" style="27" bestFit="1" customWidth="1"/>
    <col min="2053" max="2053" width="9.28515625" style="27" bestFit="1" customWidth="1"/>
    <col min="2054" max="2054" width="1.42578125" style="27" customWidth="1"/>
    <col min="2055" max="2055" width="8.28515625" style="27" bestFit="1" customWidth="1"/>
    <col min="2056" max="2056" width="16.5703125" style="27" bestFit="1" customWidth="1"/>
    <col min="2057" max="2057" width="1.7109375" style="27" customWidth="1"/>
    <col min="2058" max="2058" width="8.140625" style="27" bestFit="1" customWidth="1"/>
    <col min="2059" max="2059" width="12.85546875" style="27" bestFit="1" customWidth="1"/>
    <col min="2060" max="2301" width="11.5703125" style="27"/>
    <col min="2302" max="2302" width="3" style="27" customWidth="1"/>
    <col min="2303" max="2303" width="17.5703125" style="27" customWidth="1"/>
    <col min="2304" max="2304" width="13.5703125" style="27" bestFit="1" customWidth="1"/>
    <col min="2305" max="2305" width="16.5703125" style="27" bestFit="1" customWidth="1"/>
    <col min="2306" max="2306" width="9.28515625" style="27" bestFit="1" customWidth="1"/>
    <col min="2307" max="2308" width="17.5703125" style="27" bestFit="1" customWidth="1"/>
    <col min="2309" max="2309" width="9.28515625" style="27" bestFit="1" customWidth="1"/>
    <col min="2310" max="2310" width="1.42578125" style="27" customWidth="1"/>
    <col min="2311" max="2311" width="8.28515625" style="27" bestFit="1" customWidth="1"/>
    <col min="2312" max="2312" width="16.5703125" style="27" bestFit="1" customWidth="1"/>
    <col min="2313" max="2313" width="1.7109375" style="27" customWidth="1"/>
    <col min="2314" max="2314" width="8.140625" style="27" bestFit="1" customWidth="1"/>
    <col min="2315" max="2315" width="12.85546875" style="27" bestFit="1" customWidth="1"/>
    <col min="2316" max="2557" width="11.5703125" style="27"/>
    <col min="2558" max="2558" width="3" style="27" customWidth="1"/>
    <col min="2559" max="2559" width="17.5703125" style="27" customWidth="1"/>
    <col min="2560" max="2560" width="13.5703125" style="27" bestFit="1" customWidth="1"/>
    <col min="2561" max="2561" width="16.5703125" style="27" bestFit="1" customWidth="1"/>
    <col min="2562" max="2562" width="9.28515625" style="27" bestFit="1" customWidth="1"/>
    <col min="2563" max="2564" width="17.5703125" style="27" bestFit="1" customWidth="1"/>
    <col min="2565" max="2565" width="9.28515625" style="27" bestFit="1" customWidth="1"/>
    <col min="2566" max="2566" width="1.42578125" style="27" customWidth="1"/>
    <col min="2567" max="2567" width="8.28515625" style="27" bestFit="1" customWidth="1"/>
    <col min="2568" max="2568" width="16.5703125" style="27" bestFit="1" customWidth="1"/>
    <col min="2569" max="2569" width="1.7109375" style="27" customWidth="1"/>
    <col min="2570" max="2570" width="8.140625" style="27" bestFit="1" customWidth="1"/>
    <col min="2571" max="2571" width="12.85546875" style="27" bestFit="1" customWidth="1"/>
    <col min="2572" max="2813" width="11.5703125" style="27"/>
    <col min="2814" max="2814" width="3" style="27" customWidth="1"/>
    <col min="2815" max="2815" width="17.5703125" style="27" customWidth="1"/>
    <col min="2816" max="2816" width="13.5703125" style="27" bestFit="1" customWidth="1"/>
    <col min="2817" max="2817" width="16.5703125" style="27" bestFit="1" customWidth="1"/>
    <col min="2818" max="2818" width="9.28515625" style="27" bestFit="1" customWidth="1"/>
    <col min="2819" max="2820" width="17.5703125" style="27" bestFit="1" customWidth="1"/>
    <col min="2821" max="2821" width="9.28515625" style="27" bestFit="1" customWidth="1"/>
    <col min="2822" max="2822" width="1.42578125" style="27" customWidth="1"/>
    <col min="2823" max="2823" width="8.28515625" style="27" bestFit="1" customWidth="1"/>
    <col min="2824" max="2824" width="16.5703125" style="27" bestFit="1" customWidth="1"/>
    <col min="2825" max="2825" width="1.7109375" style="27" customWidth="1"/>
    <col min="2826" max="2826" width="8.140625" style="27" bestFit="1" customWidth="1"/>
    <col min="2827" max="2827" width="12.85546875" style="27" bestFit="1" customWidth="1"/>
    <col min="2828" max="3069" width="11.5703125" style="27"/>
    <col min="3070" max="3070" width="3" style="27" customWidth="1"/>
    <col min="3071" max="3071" width="17.5703125" style="27" customWidth="1"/>
    <col min="3072" max="3072" width="13.5703125" style="27" bestFit="1" customWidth="1"/>
    <col min="3073" max="3073" width="16.5703125" style="27" bestFit="1" customWidth="1"/>
    <col min="3074" max="3074" width="9.28515625" style="27" bestFit="1" customWidth="1"/>
    <col min="3075" max="3076" width="17.5703125" style="27" bestFit="1" customWidth="1"/>
    <col min="3077" max="3077" width="9.28515625" style="27" bestFit="1" customWidth="1"/>
    <col min="3078" max="3078" width="1.42578125" style="27" customWidth="1"/>
    <col min="3079" max="3079" width="8.28515625" style="27" bestFit="1" customWidth="1"/>
    <col min="3080" max="3080" width="16.5703125" style="27" bestFit="1" customWidth="1"/>
    <col min="3081" max="3081" width="1.7109375" style="27" customWidth="1"/>
    <col min="3082" max="3082" width="8.140625" style="27" bestFit="1" customWidth="1"/>
    <col min="3083" max="3083" width="12.85546875" style="27" bestFit="1" customWidth="1"/>
    <col min="3084" max="3325" width="11.5703125" style="27"/>
    <col min="3326" max="3326" width="3" style="27" customWidth="1"/>
    <col min="3327" max="3327" width="17.5703125" style="27" customWidth="1"/>
    <col min="3328" max="3328" width="13.5703125" style="27" bestFit="1" customWidth="1"/>
    <col min="3329" max="3329" width="16.5703125" style="27" bestFit="1" customWidth="1"/>
    <col min="3330" max="3330" width="9.28515625" style="27" bestFit="1" customWidth="1"/>
    <col min="3331" max="3332" width="17.5703125" style="27" bestFit="1" customWidth="1"/>
    <col min="3333" max="3333" width="9.28515625" style="27" bestFit="1" customWidth="1"/>
    <col min="3334" max="3334" width="1.42578125" style="27" customWidth="1"/>
    <col min="3335" max="3335" width="8.28515625" style="27" bestFit="1" customWidth="1"/>
    <col min="3336" max="3336" width="16.5703125" style="27" bestFit="1" customWidth="1"/>
    <col min="3337" max="3337" width="1.7109375" style="27" customWidth="1"/>
    <col min="3338" max="3338" width="8.140625" style="27" bestFit="1" customWidth="1"/>
    <col min="3339" max="3339" width="12.85546875" style="27" bestFit="1" customWidth="1"/>
    <col min="3340" max="3581" width="11.5703125" style="27"/>
    <col min="3582" max="3582" width="3" style="27" customWidth="1"/>
    <col min="3583" max="3583" width="17.5703125" style="27" customWidth="1"/>
    <col min="3584" max="3584" width="13.5703125" style="27" bestFit="1" customWidth="1"/>
    <col min="3585" max="3585" width="16.5703125" style="27" bestFit="1" customWidth="1"/>
    <col min="3586" max="3586" width="9.28515625" style="27" bestFit="1" customWidth="1"/>
    <col min="3587" max="3588" width="17.5703125" style="27" bestFit="1" customWidth="1"/>
    <col min="3589" max="3589" width="9.28515625" style="27" bestFit="1" customWidth="1"/>
    <col min="3590" max="3590" width="1.42578125" style="27" customWidth="1"/>
    <col min="3591" max="3591" width="8.28515625" style="27" bestFit="1" customWidth="1"/>
    <col min="3592" max="3592" width="16.5703125" style="27" bestFit="1" customWidth="1"/>
    <col min="3593" max="3593" width="1.7109375" style="27" customWidth="1"/>
    <col min="3594" max="3594" width="8.140625" style="27" bestFit="1" customWidth="1"/>
    <col min="3595" max="3595" width="12.85546875" style="27" bestFit="1" customWidth="1"/>
    <col min="3596" max="3837" width="11.5703125" style="27"/>
    <col min="3838" max="3838" width="3" style="27" customWidth="1"/>
    <col min="3839" max="3839" width="17.5703125" style="27" customWidth="1"/>
    <col min="3840" max="3840" width="13.5703125" style="27" bestFit="1" customWidth="1"/>
    <col min="3841" max="3841" width="16.5703125" style="27" bestFit="1" customWidth="1"/>
    <col min="3842" max="3842" width="9.28515625" style="27" bestFit="1" customWidth="1"/>
    <col min="3843" max="3844" width="17.5703125" style="27" bestFit="1" customWidth="1"/>
    <col min="3845" max="3845" width="9.28515625" style="27" bestFit="1" customWidth="1"/>
    <col min="3846" max="3846" width="1.42578125" style="27" customWidth="1"/>
    <col min="3847" max="3847" width="8.28515625" style="27" bestFit="1" customWidth="1"/>
    <col min="3848" max="3848" width="16.5703125" style="27" bestFit="1" customWidth="1"/>
    <col min="3849" max="3849" width="1.7109375" style="27" customWidth="1"/>
    <col min="3850" max="3850" width="8.140625" style="27" bestFit="1" customWidth="1"/>
    <col min="3851" max="3851" width="12.85546875" style="27" bestFit="1" customWidth="1"/>
    <col min="3852" max="4093" width="11.5703125" style="27"/>
    <col min="4094" max="4094" width="3" style="27" customWidth="1"/>
    <col min="4095" max="4095" width="17.5703125" style="27" customWidth="1"/>
    <col min="4096" max="4096" width="13.5703125" style="27" bestFit="1" customWidth="1"/>
    <col min="4097" max="4097" width="16.5703125" style="27" bestFit="1" customWidth="1"/>
    <col min="4098" max="4098" width="9.28515625" style="27" bestFit="1" customWidth="1"/>
    <col min="4099" max="4100" width="17.5703125" style="27" bestFit="1" customWidth="1"/>
    <col min="4101" max="4101" width="9.28515625" style="27" bestFit="1" customWidth="1"/>
    <col min="4102" max="4102" width="1.42578125" style="27" customWidth="1"/>
    <col min="4103" max="4103" width="8.28515625" style="27" bestFit="1" customWidth="1"/>
    <col min="4104" max="4104" width="16.5703125" style="27" bestFit="1" customWidth="1"/>
    <col min="4105" max="4105" width="1.7109375" style="27" customWidth="1"/>
    <col min="4106" max="4106" width="8.140625" style="27" bestFit="1" customWidth="1"/>
    <col min="4107" max="4107" width="12.85546875" style="27" bestFit="1" customWidth="1"/>
    <col min="4108" max="4349" width="11.5703125" style="27"/>
    <col min="4350" max="4350" width="3" style="27" customWidth="1"/>
    <col min="4351" max="4351" width="17.5703125" style="27" customWidth="1"/>
    <col min="4352" max="4352" width="13.5703125" style="27" bestFit="1" customWidth="1"/>
    <col min="4353" max="4353" width="16.5703125" style="27" bestFit="1" customWidth="1"/>
    <col min="4354" max="4354" width="9.28515625" style="27" bestFit="1" customWidth="1"/>
    <col min="4355" max="4356" width="17.5703125" style="27" bestFit="1" customWidth="1"/>
    <col min="4357" max="4357" width="9.28515625" style="27" bestFit="1" customWidth="1"/>
    <col min="4358" max="4358" width="1.42578125" style="27" customWidth="1"/>
    <col min="4359" max="4359" width="8.28515625" style="27" bestFit="1" customWidth="1"/>
    <col min="4360" max="4360" width="16.5703125" style="27" bestFit="1" customWidth="1"/>
    <col min="4361" max="4361" width="1.7109375" style="27" customWidth="1"/>
    <col min="4362" max="4362" width="8.140625" style="27" bestFit="1" customWidth="1"/>
    <col min="4363" max="4363" width="12.85546875" style="27" bestFit="1" customWidth="1"/>
    <col min="4364" max="4605" width="11.5703125" style="27"/>
    <col min="4606" max="4606" width="3" style="27" customWidth="1"/>
    <col min="4607" max="4607" width="17.5703125" style="27" customWidth="1"/>
    <col min="4608" max="4608" width="13.5703125" style="27" bestFit="1" customWidth="1"/>
    <col min="4609" max="4609" width="16.5703125" style="27" bestFit="1" customWidth="1"/>
    <col min="4610" max="4610" width="9.28515625" style="27" bestFit="1" customWidth="1"/>
    <col min="4611" max="4612" width="17.5703125" style="27" bestFit="1" customWidth="1"/>
    <col min="4613" max="4613" width="9.28515625" style="27" bestFit="1" customWidth="1"/>
    <col min="4614" max="4614" width="1.42578125" style="27" customWidth="1"/>
    <col min="4615" max="4615" width="8.28515625" style="27" bestFit="1" customWidth="1"/>
    <col min="4616" max="4616" width="16.5703125" style="27" bestFit="1" customWidth="1"/>
    <col min="4617" max="4617" width="1.7109375" style="27" customWidth="1"/>
    <col min="4618" max="4618" width="8.140625" style="27" bestFit="1" customWidth="1"/>
    <col min="4619" max="4619" width="12.85546875" style="27" bestFit="1" customWidth="1"/>
    <col min="4620" max="4861" width="11.5703125" style="27"/>
    <col min="4862" max="4862" width="3" style="27" customWidth="1"/>
    <col min="4863" max="4863" width="17.5703125" style="27" customWidth="1"/>
    <col min="4864" max="4864" width="13.5703125" style="27" bestFit="1" customWidth="1"/>
    <col min="4865" max="4865" width="16.5703125" style="27" bestFit="1" customWidth="1"/>
    <col min="4866" max="4866" width="9.28515625" style="27" bestFit="1" customWidth="1"/>
    <col min="4867" max="4868" width="17.5703125" style="27" bestFit="1" customWidth="1"/>
    <col min="4869" max="4869" width="9.28515625" style="27" bestFit="1" customWidth="1"/>
    <col min="4870" max="4870" width="1.42578125" style="27" customWidth="1"/>
    <col min="4871" max="4871" width="8.28515625" style="27" bestFit="1" customWidth="1"/>
    <col min="4872" max="4872" width="16.5703125" style="27" bestFit="1" customWidth="1"/>
    <col min="4873" max="4873" width="1.7109375" style="27" customWidth="1"/>
    <col min="4874" max="4874" width="8.140625" style="27" bestFit="1" customWidth="1"/>
    <col min="4875" max="4875" width="12.85546875" style="27" bestFit="1" customWidth="1"/>
    <col min="4876" max="5117" width="11.5703125" style="27"/>
    <col min="5118" max="5118" width="3" style="27" customWidth="1"/>
    <col min="5119" max="5119" width="17.5703125" style="27" customWidth="1"/>
    <col min="5120" max="5120" width="13.5703125" style="27" bestFit="1" customWidth="1"/>
    <col min="5121" max="5121" width="16.5703125" style="27" bestFit="1" customWidth="1"/>
    <col min="5122" max="5122" width="9.28515625" style="27" bestFit="1" customWidth="1"/>
    <col min="5123" max="5124" width="17.5703125" style="27" bestFit="1" customWidth="1"/>
    <col min="5125" max="5125" width="9.28515625" style="27" bestFit="1" customWidth="1"/>
    <col min="5126" max="5126" width="1.42578125" style="27" customWidth="1"/>
    <col min="5127" max="5127" width="8.28515625" style="27" bestFit="1" customWidth="1"/>
    <col min="5128" max="5128" width="16.5703125" style="27" bestFit="1" customWidth="1"/>
    <col min="5129" max="5129" width="1.7109375" style="27" customWidth="1"/>
    <col min="5130" max="5130" width="8.140625" style="27" bestFit="1" customWidth="1"/>
    <col min="5131" max="5131" width="12.85546875" style="27" bestFit="1" customWidth="1"/>
    <col min="5132" max="5373" width="11.5703125" style="27"/>
    <col min="5374" max="5374" width="3" style="27" customWidth="1"/>
    <col min="5375" max="5375" width="17.5703125" style="27" customWidth="1"/>
    <col min="5376" max="5376" width="13.5703125" style="27" bestFit="1" customWidth="1"/>
    <col min="5377" max="5377" width="16.5703125" style="27" bestFit="1" customWidth="1"/>
    <col min="5378" max="5378" width="9.28515625" style="27" bestFit="1" customWidth="1"/>
    <col min="5379" max="5380" width="17.5703125" style="27" bestFit="1" customWidth="1"/>
    <col min="5381" max="5381" width="9.28515625" style="27" bestFit="1" customWidth="1"/>
    <col min="5382" max="5382" width="1.42578125" style="27" customWidth="1"/>
    <col min="5383" max="5383" width="8.28515625" style="27" bestFit="1" customWidth="1"/>
    <col min="5384" max="5384" width="16.5703125" style="27" bestFit="1" customWidth="1"/>
    <col min="5385" max="5385" width="1.7109375" style="27" customWidth="1"/>
    <col min="5386" max="5386" width="8.140625" style="27" bestFit="1" customWidth="1"/>
    <col min="5387" max="5387" width="12.85546875" style="27" bestFit="1" customWidth="1"/>
    <col min="5388" max="5629" width="11.5703125" style="27"/>
    <col min="5630" max="5630" width="3" style="27" customWidth="1"/>
    <col min="5631" max="5631" width="17.5703125" style="27" customWidth="1"/>
    <col min="5632" max="5632" width="13.5703125" style="27" bestFit="1" customWidth="1"/>
    <col min="5633" max="5633" width="16.5703125" style="27" bestFit="1" customWidth="1"/>
    <col min="5634" max="5634" width="9.28515625" style="27" bestFit="1" customWidth="1"/>
    <col min="5635" max="5636" width="17.5703125" style="27" bestFit="1" customWidth="1"/>
    <col min="5637" max="5637" width="9.28515625" style="27" bestFit="1" customWidth="1"/>
    <col min="5638" max="5638" width="1.42578125" style="27" customWidth="1"/>
    <col min="5639" max="5639" width="8.28515625" style="27" bestFit="1" customWidth="1"/>
    <col min="5640" max="5640" width="16.5703125" style="27" bestFit="1" customWidth="1"/>
    <col min="5641" max="5641" width="1.7109375" style="27" customWidth="1"/>
    <col min="5642" max="5642" width="8.140625" style="27" bestFit="1" customWidth="1"/>
    <col min="5643" max="5643" width="12.85546875" style="27" bestFit="1" customWidth="1"/>
    <col min="5644" max="5885" width="11.5703125" style="27"/>
    <col min="5886" max="5886" width="3" style="27" customWidth="1"/>
    <col min="5887" max="5887" width="17.5703125" style="27" customWidth="1"/>
    <col min="5888" max="5888" width="13.5703125" style="27" bestFit="1" customWidth="1"/>
    <col min="5889" max="5889" width="16.5703125" style="27" bestFit="1" customWidth="1"/>
    <col min="5890" max="5890" width="9.28515625" style="27" bestFit="1" customWidth="1"/>
    <col min="5891" max="5892" width="17.5703125" style="27" bestFit="1" customWidth="1"/>
    <col min="5893" max="5893" width="9.28515625" style="27" bestFit="1" customWidth="1"/>
    <col min="5894" max="5894" width="1.42578125" style="27" customWidth="1"/>
    <col min="5895" max="5895" width="8.28515625" style="27" bestFit="1" customWidth="1"/>
    <col min="5896" max="5896" width="16.5703125" style="27" bestFit="1" customWidth="1"/>
    <col min="5897" max="5897" width="1.7109375" style="27" customWidth="1"/>
    <col min="5898" max="5898" width="8.140625" style="27" bestFit="1" customWidth="1"/>
    <col min="5899" max="5899" width="12.85546875" style="27" bestFit="1" customWidth="1"/>
    <col min="5900" max="6141" width="11.5703125" style="27"/>
    <col min="6142" max="6142" width="3" style="27" customWidth="1"/>
    <col min="6143" max="6143" width="17.5703125" style="27" customWidth="1"/>
    <col min="6144" max="6144" width="13.5703125" style="27" bestFit="1" customWidth="1"/>
    <col min="6145" max="6145" width="16.5703125" style="27" bestFit="1" customWidth="1"/>
    <col min="6146" max="6146" width="9.28515625" style="27" bestFit="1" customWidth="1"/>
    <col min="6147" max="6148" width="17.5703125" style="27" bestFit="1" customWidth="1"/>
    <col min="6149" max="6149" width="9.28515625" style="27" bestFit="1" customWidth="1"/>
    <col min="6150" max="6150" width="1.42578125" style="27" customWidth="1"/>
    <col min="6151" max="6151" width="8.28515625" style="27" bestFit="1" customWidth="1"/>
    <col min="6152" max="6152" width="16.5703125" style="27" bestFit="1" customWidth="1"/>
    <col min="6153" max="6153" width="1.7109375" style="27" customWidth="1"/>
    <col min="6154" max="6154" width="8.140625" style="27" bestFit="1" customWidth="1"/>
    <col min="6155" max="6155" width="12.85546875" style="27" bestFit="1" customWidth="1"/>
    <col min="6156" max="6397" width="11.5703125" style="27"/>
    <col min="6398" max="6398" width="3" style="27" customWidth="1"/>
    <col min="6399" max="6399" width="17.5703125" style="27" customWidth="1"/>
    <col min="6400" max="6400" width="13.5703125" style="27" bestFit="1" customWidth="1"/>
    <col min="6401" max="6401" width="16.5703125" style="27" bestFit="1" customWidth="1"/>
    <col min="6402" max="6402" width="9.28515625" style="27" bestFit="1" customWidth="1"/>
    <col min="6403" max="6404" width="17.5703125" style="27" bestFit="1" customWidth="1"/>
    <col min="6405" max="6405" width="9.28515625" style="27" bestFit="1" customWidth="1"/>
    <col min="6406" max="6406" width="1.42578125" style="27" customWidth="1"/>
    <col min="6407" max="6407" width="8.28515625" style="27" bestFit="1" customWidth="1"/>
    <col min="6408" max="6408" width="16.5703125" style="27" bestFit="1" customWidth="1"/>
    <col min="6409" max="6409" width="1.7109375" style="27" customWidth="1"/>
    <col min="6410" max="6410" width="8.140625" style="27" bestFit="1" customWidth="1"/>
    <col min="6411" max="6411" width="12.85546875" style="27" bestFit="1" customWidth="1"/>
    <col min="6412" max="6653" width="11.5703125" style="27"/>
    <col min="6654" max="6654" width="3" style="27" customWidth="1"/>
    <col min="6655" max="6655" width="17.5703125" style="27" customWidth="1"/>
    <col min="6656" max="6656" width="13.5703125" style="27" bestFit="1" customWidth="1"/>
    <col min="6657" max="6657" width="16.5703125" style="27" bestFit="1" customWidth="1"/>
    <col min="6658" max="6658" width="9.28515625" style="27" bestFit="1" customWidth="1"/>
    <col min="6659" max="6660" width="17.5703125" style="27" bestFit="1" customWidth="1"/>
    <col min="6661" max="6661" width="9.28515625" style="27" bestFit="1" customWidth="1"/>
    <col min="6662" max="6662" width="1.42578125" style="27" customWidth="1"/>
    <col min="6663" max="6663" width="8.28515625" style="27" bestFit="1" customWidth="1"/>
    <col min="6664" max="6664" width="16.5703125" style="27" bestFit="1" customWidth="1"/>
    <col min="6665" max="6665" width="1.7109375" style="27" customWidth="1"/>
    <col min="6666" max="6666" width="8.140625" style="27" bestFit="1" customWidth="1"/>
    <col min="6667" max="6667" width="12.85546875" style="27" bestFit="1" customWidth="1"/>
    <col min="6668" max="6909" width="11.5703125" style="27"/>
    <col min="6910" max="6910" width="3" style="27" customWidth="1"/>
    <col min="6911" max="6911" width="17.5703125" style="27" customWidth="1"/>
    <col min="6912" max="6912" width="13.5703125" style="27" bestFit="1" customWidth="1"/>
    <col min="6913" max="6913" width="16.5703125" style="27" bestFit="1" customWidth="1"/>
    <col min="6914" max="6914" width="9.28515625" style="27" bestFit="1" customWidth="1"/>
    <col min="6915" max="6916" width="17.5703125" style="27" bestFit="1" customWidth="1"/>
    <col min="6917" max="6917" width="9.28515625" style="27" bestFit="1" customWidth="1"/>
    <col min="6918" max="6918" width="1.42578125" style="27" customWidth="1"/>
    <col min="6919" max="6919" width="8.28515625" style="27" bestFit="1" customWidth="1"/>
    <col min="6920" max="6920" width="16.5703125" style="27" bestFit="1" customWidth="1"/>
    <col min="6921" max="6921" width="1.7109375" style="27" customWidth="1"/>
    <col min="6922" max="6922" width="8.140625" style="27" bestFit="1" customWidth="1"/>
    <col min="6923" max="6923" width="12.85546875" style="27" bestFit="1" customWidth="1"/>
    <col min="6924" max="7165" width="11.5703125" style="27"/>
    <col min="7166" max="7166" width="3" style="27" customWidth="1"/>
    <col min="7167" max="7167" width="17.5703125" style="27" customWidth="1"/>
    <col min="7168" max="7168" width="13.5703125" style="27" bestFit="1" customWidth="1"/>
    <col min="7169" max="7169" width="16.5703125" style="27" bestFit="1" customWidth="1"/>
    <col min="7170" max="7170" width="9.28515625" style="27" bestFit="1" customWidth="1"/>
    <col min="7171" max="7172" width="17.5703125" style="27" bestFit="1" customWidth="1"/>
    <col min="7173" max="7173" width="9.28515625" style="27" bestFit="1" customWidth="1"/>
    <col min="7174" max="7174" width="1.42578125" style="27" customWidth="1"/>
    <col min="7175" max="7175" width="8.28515625" style="27" bestFit="1" customWidth="1"/>
    <col min="7176" max="7176" width="16.5703125" style="27" bestFit="1" customWidth="1"/>
    <col min="7177" max="7177" width="1.7109375" style="27" customWidth="1"/>
    <col min="7178" max="7178" width="8.140625" style="27" bestFit="1" customWidth="1"/>
    <col min="7179" max="7179" width="12.85546875" style="27" bestFit="1" customWidth="1"/>
    <col min="7180" max="7421" width="11.5703125" style="27"/>
    <col min="7422" max="7422" width="3" style="27" customWidth="1"/>
    <col min="7423" max="7423" width="17.5703125" style="27" customWidth="1"/>
    <col min="7424" max="7424" width="13.5703125" style="27" bestFit="1" customWidth="1"/>
    <col min="7425" max="7425" width="16.5703125" style="27" bestFit="1" customWidth="1"/>
    <col min="7426" max="7426" width="9.28515625" style="27" bestFit="1" customWidth="1"/>
    <col min="7427" max="7428" width="17.5703125" style="27" bestFit="1" customWidth="1"/>
    <col min="7429" max="7429" width="9.28515625" style="27" bestFit="1" customWidth="1"/>
    <col min="7430" max="7430" width="1.42578125" style="27" customWidth="1"/>
    <col min="7431" max="7431" width="8.28515625" style="27" bestFit="1" customWidth="1"/>
    <col min="7432" max="7432" width="16.5703125" style="27" bestFit="1" customWidth="1"/>
    <col min="7433" max="7433" width="1.7109375" style="27" customWidth="1"/>
    <col min="7434" max="7434" width="8.140625" style="27" bestFit="1" customWidth="1"/>
    <col min="7435" max="7435" width="12.85546875" style="27" bestFit="1" customWidth="1"/>
    <col min="7436" max="7677" width="11.5703125" style="27"/>
    <col min="7678" max="7678" width="3" style="27" customWidth="1"/>
    <col min="7679" max="7679" width="17.5703125" style="27" customWidth="1"/>
    <col min="7680" max="7680" width="13.5703125" style="27" bestFit="1" customWidth="1"/>
    <col min="7681" max="7681" width="16.5703125" style="27" bestFit="1" customWidth="1"/>
    <col min="7682" max="7682" width="9.28515625" style="27" bestFit="1" customWidth="1"/>
    <col min="7683" max="7684" width="17.5703125" style="27" bestFit="1" customWidth="1"/>
    <col min="7685" max="7685" width="9.28515625" style="27" bestFit="1" customWidth="1"/>
    <col min="7686" max="7686" width="1.42578125" style="27" customWidth="1"/>
    <col min="7687" max="7687" width="8.28515625" style="27" bestFit="1" customWidth="1"/>
    <col min="7688" max="7688" width="16.5703125" style="27" bestFit="1" customWidth="1"/>
    <col min="7689" max="7689" width="1.7109375" style="27" customWidth="1"/>
    <col min="7690" max="7690" width="8.140625" style="27" bestFit="1" customWidth="1"/>
    <col min="7691" max="7691" width="12.85546875" style="27" bestFit="1" customWidth="1"/>
    <col min="7692" max="7933" width="11.5703125" style="27"/>
    <col min="7934" max="7934" width="3" style="27" customWidth="1"/>
    <col min="7935" max="7935" width="17.5703125" style="27" customWidth="1"/>
    <col min="7936" max="7936" width="13.5703125" style="27" bestFit="1" customWidth="1"/>
    <col min="7937" max="7937" width="16.5703125" style="27" bestFit="1" customWidth="1"/>
    <col min="7938" max="7938" width="9.28515625" style="27" bestFit="1" customWidth="1"/>
    <col min="7939" max="7940" width="17.5703125" style="27" bestFit="1" customWidth="1"/>
    <col min="7941" max="7941" width="9.28515625" style="27" bestFit="1" customWidth="1"/>
    <col min="7942" max="7942" width="1.42578125" style="27" customWidth="1"/>
    <col min="7943" max="7943" width="8.28515625" style="27" bestFit="1" customWidth="1"/>
    <col min="7944" max="7944" width="16.5703125" style="27" bestFit="1" customWidth="1"/>
    <col min="7945" max="7945" width="1.7109375" style="27" customWidth="1"/>
    <col min="7946" max="7946" width="8.140625" style="27" bestFit="1" customWidth="1"/>
    <col min="7947" max="7947" width="12.85546875" style="27" bestFit="1" customWidth="1"/>
    <col min="7948" max="8189" width="11.5703125" style="27"/>
    <col min="8190" max="8190" width="3" style="27" customWidth="1"/>
    <col min="8191" max="8191" width="17.5703125" style="27" customWidth="1"/>
    <col min="8192" max="8192" width="13.5703125" style="27" bestFit="1" customWidth="1"/>
    <col min="8193" max="8193" width="16.5703125" style="27" bestFit="1" customWidth="1"/>
    <col min="8194" max="8194" width="9.28515625" style="27" bestFit="1" customWidth="1"/>
    <col min="8195" max="8196" width="17.5703125" style="27" bestFit="1" customWidth="1"/>
    <col min="8197" max="8197" width="9.28515625" style="27" bestFit="1" customWidth="1"/>
    <col min="8198" max="8198" width="1.42578125" style="27" customWidth="1"/>
    <col min="8199" max="8199" width="8.28515625" style="27" bestFit="1" customWidth="1"/>
    <col min="8200" max="8200" width="16.5703125" style="27" bestFit="1" customWidth="1"/>
    <col min="8201" max="8201" width="1.7109375" style="27" customWidth="1"/>
    <col min="8202" max="8202" width="8.140625" style="27" bestFit="1" customWidth="1"/>
    <col min="8203" max="8203" width="12.85546875" style="27" bestFit="1" customWidth="1"/>
    <col min="8204" max="8445" width="11.5703125" style="27"/>
    <col min="8446" max="8446" width="3" style="27" customWidth="1"/>
    <col min="8447" max="8447" width="17.5703125" style="27" customWidth="1"/>
    <col min="8448" max="8448" width="13.5703125" style="27" bestFit="1" customWidth="1"/>
    <col min="8449" max="8449" width="16.5703125" style="27" bestFit="1" customWidth="1"/>
    <col min="8450" max="8450" width="9.28515625" style="27" bestFit="1" customWidth="1"/>
    <col min="8451" max="8452" width="17.5703125" style="27" bestFit="1" customWidth="1"/>
    <col min="8453" max="8453" width="9.28515625" style="27" bestFit="1" customWidth="1"/>
    <col min="8454" max="8454" width="1.42578125" style="27" customWidth="1"/>
    <col min="8455" max="8455" width="8.28515625" style="27" bestFit="1" customWidth="1"/>
    <col min="8456" max="8456" width="16.5703125" style="27" bestFit="1" customWidth="1"/>
    <col min="8457" max="8457" width="1.7109375" style="27" customWidth="1"/>
    <col min="8458" max="8458" width="8.140625" style="27" bestFit="1" customWidth="1"/>
    <col min="8459" max="8459" width="12.85546875" style="27" bestFit="1" customWidth="1"/>
    <col min="8460" max="8701" width="11.5703125" style="27"/>
    <col min="8702" max="8702" width="3" style="27" customWidth="1"/>
    <col min="8703" max="8703" width="17.5703125" style="27" customWidth="1"/>
    <col min="8704" max="8704" width="13.5703125" style="27" bestFit="1" customWidth="1"/>
    <col min="8705" max="8705" width="16.5703125" style="27" bestFit="1" customWidth="1"/>
    <col min="8706" max="8706" width="9.28515625" style="27" bestFit="1" customWidth="1"/>
    <col min="8707" max="8708" width="17.5703125" style="27" bestFit="1" customWidth="1"/>
    <col min="8709" max="8709" width="9.28515625" style="27" bestFit="1" customWidth="1"/>
    <col min="8710" max="8710" width="1.42578125" style="27" customWidth="1"/>
    <col min="8711" max="8711" width="8.28515625" style="27" bestFit="1" customWidth="1"/>
    <col min="8712" max="8712" width="16.5703125" style="27" bestFit="1" customWidth="1"/>
    <col min="8713" max="8713" width="1.7109375" style="27" customWidth="1"/>
    <col min="8714" max="8714" width="8.140625" style="27" bestFit="1" customWidth="1"/>
    <col min="8715" max="8715" width="12.85546875" style="27" bestFit="1" customWidth="1"/>
    <col min="8716" max="8957" width="11.5703125" style="27"/>
    <col min="8958" max="8958" width="3" style="27" customWidth="1"/>
    <col min="8959" max="8959" width="17.5703125" style="27" customWidth="1"/>
    <col min="8960" max="8960" width="13.5703125" style="27" bestFit="1" customWidth="1"/>
    <col min="8961" max="8961" width="16.5703125" style="27" bestFit="1" customWidth="1"/>
    <col min="8962" max="8962" width="9.28515625" style="27" bestFit="1" customWidth="1"/>
    <col min="8963" max="8964" width="17.5703125" style="27" bestFit="1" customWidth="1"/>
    <col min="8965" max="8965" width="9.28515625" style="27" bestFit="1" customWidth="1"/>
    <col min="8966" max="8966" width="1.42578125" style="27" customWidth="1"/>
    <col min="8967" max="8967" width="8.28515625" style="27" bestFit="1" customWidth="1"/>
    <col min="8968" max="8968" width="16.5703125" style="27" bestFit="1" customWidth="1"/>
    <col min="8969" max="8969" width="1.7109375" style="27" customWidth="1"/>
    <col min="8970" max="8970" width="8.140625" style="27" bestFit="1" customWidth="1"/>
    <col min="8971" max="8971" width="12.85546875" style="27" bestFit="1" customWidth="1"/>
    <col min="8972" max="9213" width="11.5703125" style="27"/>
    <col min="9214" max="9214" width="3" style="27" customWidth="1"/>
    <col min="9215" max="9215" width="17.5703125" style="27" customWidth="1"/>
    <col min="9216" max="9216" width="13.5703125" style="27" bestFit="1" customWidth="1"/>
    <col min="9217" max="9217" width="16.5703125" style="27" bestFit="1" customWidth="1"/>
    <col min="9218" max="9218" width="9.28515625" style="27" bestFit="1" customWidth="1"/>
    <col min="9219" max="9220" width="17.5703125" style="27" bestFit="1" customWidth="1"/>
    <col min="9221" max="9221" width="9.28515625" style="27" bestFit="1" customWidth="1"/>
    <col min="9222" max="9222" width="1.42578125" style="27" customWidth="1"/>
    <col min="9223" max="9223" width="8.28515625" style="27" bestFit="1" customWidth="1"/>
    <col min="9224" max="9224" width="16.5703125" style="27" bestFit="1" customWidth="1"/>
    <col min="9225" max="9225" width="1.7109375" style="27" customWidth="1"/>
    <col min="9226" max="9226" width="8.140625" style="27" bestFit="1" customWidth="1"/>
    <col min="9227" max="9227" width="12.85546875" style="27" bestFit="1" customWidth="1"/>
    <col min="9228" max="9469" width="11.5703125" style="27"/>
    <col min="9470" max="9470" width="3" style="27" customWidth="1"/>
    <col min="9471" max="9471" width="17.5703125" style="27" customWidth="1"/>
    <col min="9472" max="9472" width="13.5703125" style="27" bestFit="1" customWidth="1"/>
    <col min="9473" max="9473" width="16.5703125" style="27" bestFit="1" customWidth="1"/>
    <col min="9474" max="9474" width="9.28515625" style="27" bestFit="1" customWidth="1"/>
    <col min="9475" max="9476" width="17.5703125" style="27" bestFit="1" customWidth="1"/>
    <col min="9477" max="9477" width="9.28515625" style="27" bestFit="1" customWidth="1"/>
    <col min="9478" max="9478" width="1.42578125" style="27" customWidth="1"/>
    <col min="9479" max="9479" width="8.28515625" style="27" bestFit="1" customWidth="1"/>
    <col min="9480" max="9480" width="16.5703125" style="27" bestFit="1" customWidth="1"/>
    <col min="9481" max="9481" width="1.7109375" style="27" customWidth="1"/>
    <col min="9482" max="9482" width="8.140625" style="27" bestFit="1" customWidth="1"/>
    <col min="9483" max="9483" width="12.85546875" style="27" bestFit="1" customWidth="1"/>
    <col min="9484" max="9725" width="11.5703125" style="27"/>
    <col min="9726" max="9726" width="3" style="27" customWidth="1"/>
    <col min="9727" max="9727" width="17.5703125" style="27" customWidth="1"/>
    <col min="9728" max="9728" width="13.5703125" style="27" bestFit="1" customWidth="1"/>
    <col min="9729" max="9729" width="16.5703125" style="27" bestFit="1" customWidth="1"/>
    <col min="9730" max="9730" width="9.28515625" style="27" bestFit="1" customWidth="1"/>
    <col min="9731" max="9732" width="17.5703125" style="27" bestFit="1" customWidth="1"/>
    <col min="9733" max="9733" width="9.28515625" style="27" bestFit="1" customWidth="1"/>
    <col min="9734" max="9734" width="1.42578125" style="27" customWidth="1"/>
    <col min="9735" max="9735" width="8.28515625" style="27" bestFit="1" customWidth="1"/>
    <col min="9736" max="9736" width="16.5703125" style="27" bestFit="1" customWidth="1"/>
    <col min="9737" max="9737" width="1.7109375" style="27" customWidth="1"/>
    <col min="9738" max="9738" width="8.140625" style="27" bestFit="1" customWidth="1"/>
    <col min="9739" max="9739" width="12.85546875" style="27" bestFit="1" customWidth="1"/>
    <col min="9740" max="9981" width="11.5703125" style="27"/>
    <col min="9982" max="9982" width="3" style="27" customWidth="1"/>
    <col min="9983" max="9983" width="17.5703125" style="27" customWidth="1"/>
    <col min="9984" max="9984" width="13.5703125" style="27" bestFit="1" customWidth="1"/>
    <col min="9985" max="9985" width="16.5703125" style="27" bestFit="1" customWidth="1"/>
    <col min="9986" max="9986" width="9.28515625" style="27" bestFit="1" customWidth="1"/>
    <col min="9987" max="9988" width="17.5703125" style="27" bestFit="1" customWidth="1"/>
    <col min="9989" max="9989" width="9.28515625" style="27" bestFit="1" customWidth="1"/>
    <col min="9990" max="9990" width="1.42578125" style="27" customWidth="1"/>
    <col min="9991" max="9991" width="8.28515625" style="27" bestFit="1" customWidth="1"/>
    <col min="9992" max="9992" width="16.5703125" style="27" bestFit="1" customWidth="1"/>
    <col min="9993" max="9993" width="1.7109375" style="27" customWidth="1"/>
    <col min="9994" max="9994" width="8.140625" style="27" bestFit="1" customWidth="1"/>
    <col min="9995" max="9995" width="12.85546875" style="27" bestFit="1" customWidth="1"/>
    <col min="9996" max="10237" width="11.5703125" style="27"/>
    <col min="10238" max="10238" width="3" style="27" customWidth="1"/>
    <col min="10239" max="10239" width="17.5703125" style="27" customWidth="1"/>
    <col min="10240" max="10240" width="13.5703125" style="27" bestFit="1" customWidth="1"/>
    <col min="10241" max="10241" width="16.5703125" style="27" bestFit="1" customWidth="1"/>
    <col min="10242" max="10242" width="9.28515625" style="27" bestFit="1" customWidth="1"/>
    <col min="10243" max="10244" width="17.5703125" style="27" bestFit="1" customWidth="1"/>
    <col min="10245" max="10245" width="9.28515625" style="27" bestFit="1" customWidth="1"/>
    <col min="10246" max="10246" width="1.42578125" style="27" customWidth="1"/>
    <col min="10247" max="10247" width="8.28515625" style="27" bestFit="1" customWidth="1"/>
    <col min="10248" max="10248" width="16.5703125" style="27" bestFit="1" customWidth="1"/>
    <col min="10249" max="10249" width="1.7109375" style="27" customWidth="1"/>
    <col min="10250" max="10250" width="8.140625" style="27" bestFit="1" customWidth="1"/>
    <col min="10251" max="10251" width="12.85546875" style="27" bestFit="1" customWidth="1"/>
    <col min="10252" max="10493" width="11.5703125" style="27"/>
    <col min="10494" max="10494" width="3" style="27" customWidth="1"/>
    <col min="10495" max="10495" width="17.5703125" style="27" customWidth="1"/>
    <col min="10496" max="10496" width="13.5703125" style="27" bestFit="1" customWidth="1"/>
    <col min="10497" max="10497" width="16.5703125" style="27" bestFit="1" customWidth="1"/>
    <col min="10498" max="10498" width="9.28515625" style="27" bestFit="1" customWidth="1"/>
    <col min="10499" max="10500" width="17.5703125" style="27" bestFit="1" customWidth="1"/>
    <col min="10501" max="10501" width="9.28515625" style="27" bestFit="1" customWidth="1"/>
    <col min="10502" max="10502" width="1.42578125" style="27" customWidth="1"/>
    <col min="10503" max="10503" width="8.28515625" style="27" bestFit="1" customWidth="1"/>
    <col min="10504" max="10504" width="16.5703125" style="27" bestFit="1" customWidth="1"/>
    <col min="10505" max="10505" width="1.7109375" style="27" customWidth="1"/>
    <col min="10506" max="10506" width="8.140625" style="27" bestFit="1" customWidth="1"/>
    <col min="10507" max="10507" width="12.85546875" style="27" bestFit="1" customWidth="1"/>
    <col min="10508" max="10749" width="11.5703125" style="27"/>
    <col min="10750" max="10750" width="3" style="27" customWidth="1"/>
    <col min="10751" max="10751" width="17.5703125" style="27" customWidth="1"/>
    <col min="10752" max="10752" width="13.5703125" style="27" bestFit="1" customWidth="1"/>
    <col min="10753" max="10753" width="16.5703125" style="27" bestFit="1" customWidth="1"/>
    <col min="10754" max="10754" width="9.28515625" style="27" bestFit="1" customWidth="1"/>
    <col min="10755" max="10756" width="17.5703125" style="27" bestFit="1" customWidth="1"/>
    <col min="10757" max="10757" width="9.28515625" style="27" bestFit="1" customWidth="1"/>
    <col min="10758" max="10758" width="1.42578125" style="27" customWidth="1"/>
    <col min="10759" max="10759" width="8.28515625" style="27" bestFit="1" customWidth="1"/>
    <col min="10760" max="10760" width="16.5703125" style="27" bestFit="1" customWidth="1"/>
    <col min="10761" max="10761" width="1.7109375" style="27" customWidth="1"/>
    <col min="10762" max="10762" width="8.140625" style="27" bestFit="1" customWidth="1"/>
    <col min="10763" max="10763" width="12.85546875" style="27" bestFit="1" customWidth="1"/>
    <col min="10764" max="11005" width="11.5703125" style="27"/>
    <col min="11006" max="11006" width="3" style="27" customWidth="1"/>
    <col min="11007" max="11007" width="17.5703125" style="27" customWidth="1"/>
    <col min="11008" max="11008" width="13.5703125" style="27" bestFit="1" customWidth="1"/>
    <col min="11009" max="11009" width="16.5703125" style="27" bestFit="1" customWidth="1"/>
    <col min="11010" max="11010" width="9.28515625" style="27" bestFit="1" customWidth="1"/>
    <col min="11011" max="11012" width="17.5703125" style="27" bestFit="1" customWidth="1"/>
    <col min="11013" max="11013" width="9.28515625" style="27" bestFit="1" customWidth="1"/>
    <col min="11014" max="11014" width="1.42578125" style="27" customWidth="1"/>
    <col min="11015" max="11015" width="8.28515625" style="27" bestFit="1" customWidth="1"/>
    <col min="11016" max="11016" width="16.5703125" style="27" bestFit="1" customWidth="1"/>
    <col min="11017" max="11017" width="1.7109375" style="27" customWidth="1"/>
    <col min="11018" max="11018" width="8.140625" style="27" bestFit="1" customWidth="1"/>
    <col min="11019" max="11019" width="12.85546875" style="27" bestFit="1" customWidth="1"/>
    <col min="11020" max="11261" width="11.5703125" style="27"/>
    <col min="11262" max="11262" width="3" style="27" customWidth="1"/>
    <col min="11263" max="11263" width="17.5703125" style="27" customWidth="1"/>
    <col min="11264" max="11264" width="13.5703125" style="27" bestFit="1" customWidth="1"/>
    <col min="11265" max="11265" width="16.5703125" style="27" bestFit="1" customWidth="1"/>
    <col min="11266" max="11266" width="9.28515625" style="27" bestFit="1" customWidth="1"/>
    <col min="11267" max="11268" width="17.5703125" style="27" bestFit="1" customWidth="1"/>
    <col min="11269" max="11269" width="9.28515625" style="27" bestFit="1" customWidth="1"/>
    <col min="11270" max="11270" width="1.42578125" style="27" customWidth="1"/>
    <col min="11271" max="11271" width="8.28515625" style="27" bestFit="1" customWidth="1"/>
    <col min="11272" max="11272" width="16.5703125" style="27" bestFit="1" customWidth="1"/>
    <col min="11273" max="11273" width="1.7109375" style="27" customWidth="1"/>
    <col min="11274" max="11274" width="8.140625" style="27" bestFit="1" customWidth="1"/>
    <col min="11275" max="11275" width="12.85546875" style="27" bestFit="1" customWidth="1"/>
    <col min="11276" max="11517" width="11.5703125" style="27"/>
    <col min="11518" max="11518" width="3" style="27" customWidth="1"/>
    <col min="11519" max="11519" width="17.5703125" style="27" customWidth="1"/>
    <col min="11520" max="11520" width="13.5703125" style="27" bestFit="1" customWidth="1"/>
    <col min="11521" max="11521" width="16.5703125" style="27" bestFit="1" customWidth="1"/>
    <col min="11522" max="11522" width="9.28515625" style="27" bestFit="1" customWidth="1"/>
    <col min="11523" max="11524" width="17.5703125" style="27" bestFit="1" customWidth="1"/>
    <col min="11525" max="11525" width="9.28515625" style="27" bestFit="1" customWidth="1"/>
    <col min="11526" max="11526" width="1.42578125" style="27" customWidth="1"/>
    <col min="11527" max="11527" width="8.28515625" style="27" bestFit="1" customWidth="1"/>
    <col min="11528" max="11528" width="16.5703125" style="27" bestFit="1" customWidth="1"/>
    <col min="11529" max="11529" width="1.7109375" style="27" customWidth="1"/>
    <col min="11530" max="11530" width="8.140625" style="27" bestFit="1" customWidth="1"/>
    <col min="11531" max="11531" width="12.85546875" style="27" bestFit="1" customWidth="1"/>
    <col min="11532" max="11773" width="11.5703125" style="27"/>
    <col min="11774" max="11774" width="3" style="27" customWidth="1"/>
    <col min="11775" max="11775" width="17.5703125" style="27" customWidth="1"/>
    <col min="11776" max="11776" width="13.5703125" style="27" bestFit="1" customWidth="1"/>
    <col min="11777" max="11777" width="16.5703125" style="27" bestFit="1" customWidth="1"/>
    <col min="11778" max="11778" width="9.28515625" style="27" bestFit="1" customWidth="1"/>
    <col min="11779" max="11780" width="17.5703125" style="27" bestFit="1" customWidth="1"/>
    <col min="11781" max="11781" width="9.28515625" style="27" bestFit="1" customWidth="1"/>
    <col min="11782" max="11782" width="1.42578125" style="27" customWidth="1"/>
    <col min="11783" max="11783" width="8.28515625" style="27" bestFit="1" customWidth="1"/>
    <col min="11784" max="11784" width="16.5703125" style="27" bestFit="1" customWidth="1"/>
    <col min="11785" max="11785" width="1.7109375" style="27" customWidth="1"/>
    <col min="11786" max="11786" width="8.140625" style="27" bestFit="1" customWidth="1"/>
    <col min="11787" max="11787" width="12.85546875" style="27" bestFit="1" customWidth="1"/>
    <col min="11788" max="12029" width="11.5703125" style="27"/>
    <col min="12030" max="12030" width="3" style="27" customWidth="1"/>
    <col min="12031" max="12031" width="17.5703125" style="27" customWidth="1"/>
    <col min="12032" max="12032" width="13.5703125" style="27" bestFit="1" customWidth="1"/>
    <col min="12033" max="12033" width="16.5703125" style="27" bestFit="1" customWidth="1"/>
    <col min="12034" max="12034" width="9.28515625" style="27" bestFit="1" customWidth="1"/>
    <col min="12035" max="12036" width="17.5703125" style="27" bestFit="1" customWidth="1"/>
    <col min="12037" max="12037" width="9.28515625" style="27" bestFit="1" customWidth="1"/>
    <col min="12038" max="12038" width="1.42578125" style="27" customWidth="1"/>
    <col min="12039" max="12039" width="8.28515625" style="27" bestFit="1" customWidth="1"/>
    <col min="12040" max="12040" width="16.5703125" style="27" bestFit="1" customWidth="1"/>
    <col min="12041" max="12041" width="1.7109375" style="27" customWidth="1"/>
    <col min="12042" max="12042" width="8.140625" style="27" bestFit="1" customWidth="1"/>
    <col min="12043" max="12043" width="12.85546875" style="27" bestFit="1" customWidth="1"/>
    <col min="12044" max="12285" width="11.5703125" style="27"/>
    <col min="12286" max="12286" width="3" style="27" customWidth="1"/>
    <col min="12287" max="12287" width="17.5703125" style="27" customWidth="1"/>
    <col min="12288" max="12288" width="13.5703125" style="27" bestFit="1" customWidth="1"/>
    <col min="12289" max="12289" width="16.5703125" style="27" bestFit="1" customWidth="1"/>
    <col min="12290" max="12290" width="9.28515625" style="27" bestFit="1" customWidth="1"/>
    <col min="12291" max="12292" width="17.5703125" style="27" bestFit="1" customWidth="1"/>
    <col min="12293" max="12293" width="9.28515625" style="27" bestFit="1" customWidth="1"/>
    <col min="12294" max="12294" width="1.42578125" style="27" customWidth="1"/>
    <col min="12295" max="12295" width="8.28515625" style="27" bestFit="1" customWidth="1"/>
    <col min="12296" max="12296" width="16.5703125" style="27" bestFit="1" customWidth="1"/>
    <col min="12297" max="12297" width="1.7109375" style="27" customWidth="1"/>
    <col min="12298" max="12298" width="8.140625" style="27" bestFit="1" customWidth="1"/>
    <col min="12299" max="12299" width="12.85546875" style="27" bestFit="1" customWidth="1"/>
    <col min="12300" max="12541" width="11.5703125" style="27"/>
    <col min="12542" max="12542" width="3" style="27" customWidth="1"/>
    <col min="12543" max="12543" width="17.5703125" style="27" customWidth="1"/>
    <col min="12544" max="12544" width="13.5703125" style="27" bestFit="1" customWidth="1"/>
    <col min="12545" max="12545" width="16.5703125" style="27" bestFit="1" customWidth="1"/>
    <col min="12546" max="12546" width="9.28515625" style="27" bestFit="1" customWidth="1"/>
    <col min="12547" max="12548" width="17.5703125" style="27" bestFit="1" customWidth="1"/>
    <col min="12549" max="12549" width="9.28515625" style="27" bestFit="1" customWidth="1"/>
    <col min="12550" max="12550" width="1.42578125" style="27" customWidth="1"/>
    <col min="12551" max="12551" width="8.28515625" style="27" bestFit="1" customWidth="1"/>
    <col min="12552" max="12552" width="16.5703125" style="27" bestFit="1" customWidth="1"/>
    <col min="12553" max="12553" width="1.7109375" style="27" customWidth="1"/>
    <col min="12554" max="12554" width="8.140625" style="27" bestFit="1" customWidth="1"/>
    <col min="12555" max="12555" width="12.85546875" style="27" bestFit="1" customWidth="1"/>
    <col min="12556" max="12797" width="11.5703125" style="27"/>
    <col min="12798" max="12798" width="3" style="27" customWidth="1"/>
    <col min="12799" max="12799" width="17.5703125" style="27" customWidth="1"/>
    <col min="12800" max="12800" width="13.5703125" style="27" bestFit="1" customWidth="1"/>
    <col min="12801" max="12801" width="16.5703125" style="27" bestFit="1" customWidth="1"/>
    <col min="12802" max="12802" width="9.28515625" style="27" bestFit="1" customWidth="1"/>
    <col min="12803" max="12804" width="17.5703125" style="27" bestFit="1" customWidth="1"/>
    <col min="12805" max="12805" width="9.28515625" style="27" bestFit="1" customWidth="1"/>
    <col min="12806" max="12806" width="1.42578125" style="27" customWidth="1"/>
    <col min="12807" max="12807" width="8.28515625" style="27" bestFit="1" customWidth="1"/>
    <col min="12808" max="12808" width="16.5703125" style="27" bestFit="1" customWidth="1"/>
    <col min="12809" max="12809" width="1.7109375" style="27" customWidth="1"/>
    <col min="12810" max="12810" width="8.140625" style="27" bestFit="1" customWidth="1"/>
    <col min="12811" max="12811" width="12.85546875" style="27" bestFit="1" customWidth="1"/>
    <col min="12812" max="13053" width="11.5703125" style="27"/>
    <col min="13054" max="13054" width="3" style="27" customWidth="1"/>
    <col min="13055" max="13055" width="17.5703125" style="27" customWidth="1"/>
    <col min="13056" max="13056" width="13.5703125" style="27" bestFit="1" customWidth="1"/>
    <col min="13057" max="13057" width="16.5703125" style="27" bestFit="1" customWidth="1"/>
    <col min="13058" max="13058" width="9.28515625" style="27" bestFit="1" customWidth="1"/>
    <col min="13059" max="13060" width="17.5703125" style="27" bestFit="1" customWidth="1"/>
    <col min="13061" max="13061" width="9.28515625" style="27" bestFit="1" customWidth="1"/>
    <col min="13062" max="13062" width="1.42578125" style="27" customWidth="1"/>
    <col min="13063" max="13063" width="8.28515625" style="27" bestFit="1" customWidth="1"/>
    <col min="13064" max="13064" width="16.5703125" style="27" bestFit="1" customWidth="1"/>
    <col min="13065" max="13065" width="1.7109375" style="27" customWidth="1"/>
    <col min="13066" max="13066" width="8.140625" style="27" bestFit="1" customWidth="1"/>
    <col min="13067" max="13067" width="12.85546875" style="27" bestFit="1" customWidth="1"/>
    <col min="13068" max="13309" width="11.5703125" style="27"/>
    <col min="13310" max="13310" width="3" style="27" customWidth="1"/>
    <col min="13311" max="13311" width="17.5703125" style="27" customWidth="1"/>
    <col min="13312" max="13312" width="13.5703125" style="27" bestFit="1" customWidth="1"/>
    <col min="13313" max="13313" width="16.5703125" style="27" bestFit="1" customWidth="1"/>
    <col min="13314" max="13314" width="9.28515625" style="27" bestFit="1" customWidth="1"/>
    <col min="13315" max="13316" width="17.5703125" style="27" bestFit="1" customWidth="1"/>
    <col min="13317" max="13317" width="9.28515625" style="27" bestFit="1" customWidth="1"/>
    <col min="13318" max="13318" width="1.42578125" style="27" customWidth="1"/>
    <col min="13319" max="13319" width="8.28515625" style="27" bestFit="1" customWidth="1"/>
    <col min="13320" max="13320" width="16.5703125" style="27" bestFit="1" customWidth="1"/>
    <col min="13321" max="13321" width="1.7109375" style="27" customWidth="1"/>
    <col min="13322" max="13322" width="8.140625" style="27" bestFit="1" customWidth="1"/>
    <col min="13323" max="13323" width="12.85546875" style="27" bestFit="1" customWidth="1"/>
    <col min="13324" max="13565" width="11.5703125" style="27"/>
    <col min="13566" max="13566" width="3" style="27" customWidth="1"/>
    <col min="13567" max="13567" width="17.5703125" style="27" customWidth="1"/>
    <col min="13568" max="13568" width="13.5703125" style="27" bestFit="1" customWidth="1"/>
    <col min="13569" max="13569" width="16.5703125" style="27" bestFit="1" customWidth="1"/>
    <col min="13570" max="13570" width="9.28515625" style="27" bestFit="1" customWidth="1"/>
    <col min="13571" max="13572" width="17.5703125" style="27" bestFit="1" customWidth="1"/>
    <col min="13573" max="13573" width="9.28515625" style="27" bestFit="1" customWidth="1"/>
    <col min="13574" max="13574" width="1.42578125" style="27" customWidth="1"/>
    <col min="13575" max="13575" width="8.28515625" style="27" bestFit="1" customWidth="1"/>
    <col min="13576" max="13576" width="16.5703125" style="27" bestFit="1" customWidth="1"/>
    <col min="13577" max="13577" width="1.7109375" style="27" customWidth="1"/>
    <col min="13578" max="13578" width="8.140625" style="27" bestFit="1" customWidth="1"/>
    <col min="13579" max="13579" width="12.85546875" style="27" bestFit="1" customWidth="1"/>
    <col min="13580" max="13821" width="11.5703125" style="27"/>
    <col min="13822" max="13822" width="3" style="27" customWidth="1"/>
    <col min="13823" max="13823" width="17.5703125" style="27" customWidth="1"/>
    <col min="13824" max="13824" width="13.5703125" style="27" bestFit="1" customWidth="1"/>
    <col min="13825" max="13825" width="16.5703125" style="27" bestFit="1" customWidth="1"/>
    <col min="13826" max="13826" width="9.28515625" style="27" bestFit="1" customWidth="1"/>
    <col min="13827" max="13828" width="17.5703125" style="27" bestFit="1" customWidth="1"/>
    <col min="13829" max="13829" width="9.28515625" style="27" bestFit="1" customWidth="1"/>
    <col min="13830" max="13830" width="1.42578125" style="27" customWidth="1"/>
    <col min="13831" max="13831" width="8.28515625" style="27" bestFit="1" customWidth="1"/>
    <col min="13832" max="13832" width="16.5703125" style="27" bestFit="1" customWidth="1"/>
    <col min="13833" max="13833" width="1.7109375" style="27" customWidth="1"/>
    <col min="13834" max="13834" width="8.140625" style="27" bestFit="1" customWidth="1"/>
    <col min="13835" max="13835" width="12.85546875" style="27" bestFit="1" customWidth="1"/>
    <col min="13836" max="14077" width="11.5703125" style="27"/>
    <col min="14078" max="14078" width="3" style="27" customWidth="1"/>
    <col min="14079" max="14079" width="17.5703125" style="27" customWidth="1"/>
    <col min="14080" max="14080" width="13.5703125" style="27" bestFit="1" customWidth="1"/>
    <col min="14081" max="14081" width="16.5703125" style="27" bestFit="1" customWidth="1"/>
    <col min="14082" max="14082" width="9.28515625" style="27" bestFit="1" customWidth="1"/>
    <col min="14083" max="14084" width="17.5703125" style="27" bestFit="1" customWidth="1"/>
    <col min="14085" max="14085" width="9.28515625" style="27" bestFit="1" customWidth="1"/>
    <col min="14086" max="14086" width="1.42578125" style="27" customWidth="1"/>
    <col min="14087" max="14087" width="8.28515625" style="27" bestFit="1" customWidth="1"/>
    <col min="14088" max="14088" width="16.5703125" style="27" bestFit="1" customWidth="1"/>
    <col min="14089" max="14089" width="1.7109375" style="27" customWidth="1"/>
    <col min="14090" max="14090" width="8.140625" style="27" bestFit="1" customWidth="1"/>
    <col min="14091" max="14091" width="12.85546875" style="27" bestFit="1" customWidth="1"/>
    <col min="14092" max="14333" width="11.5703125" style="27"/>
    <col min="14334" max="14334" width="3" style="27" customWidth="1"/>
    <col min="14335" max="14335" width="17.5703125" style="27" customWidth="1"/>
    <col min="14336" max="14336" width="13.5703125" style="27" bestFit="1" customWidth="1"/>
    <col min="14337" max="14337" width="16.5703125" style="27" bestFit="1" customWidth="1"/>
    <col min="14338" max="14338" width="9.28515625" style="27" bestFit="1" customWidth="1"/>
    <col min="14339" max="14340" width="17.5703125" style="27" bestFit="1" customWidth="1"/>
    <col min="14341" max="14341" width="9.28515625" style="27" bestFit="1" customWidth="1"/>
    <col min="14342" max="14342" width="1.42578125" style="27" customWidth="1"/>
    <col min="14343" max="14343" width="8.28515625" style="27" bestFit="1" customWidth="1"/>
    <col min="14344" max="14344" width="16.5703125" style="27" bestFit="1" customWidth="1"/>
    <col min="14345" max="14345" width="1.7109375" style="27" customWidth="1"/>
    <col min="14346" max="14346" width="8.140625" style="27" bestFit="1" customWidth="1"/>
    <col min="14347" max="14347" width="12.85546875" style="27" bestFit="1" customWidth="1"/>
    <col min="14348" max="14589" width="11.5703125" style="27"/>
    <col min="14590" max="14590" width="3" style="27" customWidth="1"/>
    <col min="14591" max="14591" width="17.5703125" style="27" customWidth="1"/>
    <col min="14592" max="14592" width="13.5703125" style="27" bestFit="1" customWidth="1"/>
    <col min="14593" max="14593" width="16.5703125" style="27" bestFit="1" customWidth="1"/>
    <col min="14594" max="14594" width="9.28515625" style="27" bestFit="1" customWidth="1"/>
    <col min="14595" max="14596" width="17.5703125" style="27" bestFit="1" customWidth="1"/>
    <col min="14597" max="14597" width="9.28515625" style="27" bestFit="1" customWidth="1"/>
    <col min="14598" max="14598" width="1.42578125" style="27" customWidth="1"/>
    <col min="14599" max="14599" width="8.28515625" style="27" bestFit="1" customWidth="1"/>
    <col min="14600" max="14600" width="16.5703125" style="27" bestFit="1" customWidth="1"/>
    <col min="14601" max="14601" width="1.7109375" style="27" customWidth="1"/>
    <col min="14602" max="14602" width="8.140625" style="27" bestFit="1" customWidth="1"/>
    <col min="14603" max="14603" width="12.85546875" style="27" bestFit="1" customWidth="1"/>
    <col min="14604" max="14845" width="11.5703125" style="27"/>
    <col min="14846" max="14846" width="3" style="27" customWidth="1"/>
    <col min="14847" max="14847" width="17.5703125" style="27" customWidth="1"/>
    <col min="14848" max="14848" width="13.5703125" style="27" bestFit="1" customWidth="1"/>
    <col min="14849" max="14849" width="16.5703125" style="27" bestFit="1" customWidth="1"/>
    <col min="14850" max="14850" width="9.28515625" style="27" bestFit="1" customWidth="1"/>
    <col min="14851" max="14852" width="17.5703125" style="27" bestFit="1" customWidth="1"/>
    <col min="14853" max="14853" width="9.28515625" style="27" bestFit="1" customWidth="1"/>
    <col min="14854" max="14854" width="1.42578125" style="27" customWidth="1"/>
    <col min="14855" max="14855" width="8.28515625" style="27" bestFit="1" customWidth="1"/>
    <col min="14856" max="14856" width="16.5703125" style="27" bestFit="1" customWidth="1"/>
    <col min="14857" max="14857" width="1.7109375" style="27" customWidth="1"/>
    <col min="14858" max="14858" width="8.140625" style="27" bestFit="1" customWidth="1"/>
    <col min="14859" max="14859" width="12.85546875" style="27" bestFit="1" customWidth="1"/>
    <col min="14860" max="15101" width="11.5703125" style="27"/>
    <col min="15102" max="15102" width="3" style="27" customWidth="1"/>
    <col min="15103" max="15103" width="17.5703125" style="27" customWidth="1"/>
    <col min="15104" max="15104" width="13.5703125" style="27" bestFit="1" customWidth="1"/>
    <col min="15105" max="15105" width="16.5703125" style="27" bestFit="1" customWidth="1"/>
    <col min="15106" max="15106" width="9.28515625" style="27" bestFit="1" customWidth="1"/>
    <col min="15107" max="15108" width="17.5703125" style="27" bestFit="1" customWidth="1"/>
    <col min="15109" max="15109" width="9.28515625" style="27" bestFit="1" customWidth="1"/>
    <col min="15110" max="15110" width="1.42578125" style="27" customWidth="1"/>
    <col min="15111" max="15111" width="8.28515625" style="27" bestFit="1" customWidth="1"/>
    <col min="15112" max="15112" width="16.5703125" style="27" bestFit="1" customWidth="1"/>
    <col min="15113" max="15113" width="1.7109375" style="27" customWidth="1"/>
    <col min="15114" max="15114" width="8.140625" style="27" bestFit="1" customWidth="1"/>
    <col min="15115" max="15115" width="12.85546875" style="27" bestFit="1" customWidth="1"/>
    <col min="15116" max="15357" width="11.5703125" style="27"/>
    <col min="15358" max="15358" width="3" style="27" customWidth="1"/>
    <col min="15359" max="15359" width="17.5703125" style="27" customWidth="1"/>
    <col min="15360" max="15360" width="13.5703125" style="27" bestFit="1" customWidth="1"/>
    <col min="15361" max="15361" width="16.5703125" style="27" bestFit="1" customWidth="1"/>
    <col min="15362" max="15362" width="9.28515625" style="27" bestFit="1" customWidth="1"/>
    <col min="15363" max="15364" width="17.5703125" style="27" bestFit="1" customWidth="1"/>
    <col min="15365" max="15365" width="9.28515625" style="27" bestFit="1" customWidth="1"/>
    <col min="15366" max="15366" width="1.42578125" style="27" customWidth="1"/>
    <col min="15367" max="15367" width="8.28515625" style="27" bestFit="1" customWidth="1"/>
    <col min="15368" max="15368" width="16.5703125" style="27" bestFit="1" customWidth="1"/>
    <col min="15369" max="15369" width="1.7109375" style="27" customWidth="1"/>
    <col min="15370" max="15370" width="8.140625" style="27" bestFit="1" customWidth="1"/>
    <col min="15371" max="15371" width="12.85546875" style="27" bestFit="1" customWidth="1"/>
    <col min="15372" max="15613" width="11.5703125" style="27"/>
    <col min="15614" max="15614" width="3" style="27" customWidth="1"/>
    <col min="15615" max="15615" width="17.5703125" style="27" customWidth="1"/>
    <col min="15616" max="15616" width="13.5703125" style="27" bestFit="1" customWidth="1"/>
    <col min="15617" max="15617" width="16.5703125" style="27" bestFit="1" customWidth="1"/>
    <col min="15618" max="15618" width="9.28515625" style="27" bestFit="1" customWidth="1"/>
    <col min="15619" max="15620" width="17.5703125" style="27" bestFit="1" customWidth="1"/>
    <col min="15621" max="15621" width="9.28515625" style="27" bestFit="1" customWidth="1"/>
    <col min="15622" max="15622" width="1.42578125" style="27" customWidth="1"/>
    <col min="15623" max="15623" width="8.28515625" style="27" bestFit="1" customWidth="1"/>
    <col min="15624" max="15624" width="16.5703125" style="27" bestFit="1" customWidth="1"/>
    <col min="15625" max="15625" width="1.7109375" style="27" customWidth="1"/>
    <col min="15626" max="15626" width="8.140625" style="27" bestFit="1" customWidth="1"/>
    <col min="15627" max="15627" width="12.85546875" style="27" bestFit="1" customWidth="1"/>
    <col min="15628" max="15869" width="11.5703125" style="27"/>
    <col min="15870" max="15870" width="3" style="27" customWidth="1"/>
    <col min="15871" max="15871" width="17.5703125" style="27" customWidth="1"/>
    <col min="15872" max="15872" width="13.5703125" style="27" bestFit="1" customWidth="1"/>
    <col min="15873" max="15873" width="16.5703125" style="27" bestFit="1" customWidth="1"/>
    <col min="15874" max="15874" width="9.28515625" style="27" bestFit="1" customWidth="1"/>
    <col min="15875" max="15876" width="17.5703125" style="27" bestFit="1" customWidth="1"/>
    <col min="15877" max="15877" width="9.28515625" style="27" bestFit="1" customWidth="1"/>
    <col min="15878" max="15878" width="1.42578125" style="27" customWidth="1"/>
    <col min="15879" max="15879" width="8.28515625" style="27" bestFit="1" customWidth="1"/>
    <col min="15880" max="15880" width="16.5703125" style="27" bestFit="1" customWidth="1"/>
    <col min="15881" max="15881" width="1.7109375" style="27" customWidth="1"/>
    <col min="15882" max="15882" width="8.140625" style="27" bestFit="1" customWidth="1"/>
    <col min="15883" max="15883" width="12.85546875" style="27" bestFit="1" customWidth="1"/>
    <col min="15884" max="16125" width="11.5703125" style="27"/>
    <col min="16126" max="16126" width="3" style="27" customWidth="1"/>
    <col min="16127" max="16127" width="17.5703125" style="27" customWidth="1"/>
    <col min="16128" max="16128" width="13.5703125" style="27" bestFit="1" customWidth="1"/>
    <col min="16129" max="16129" width="16.5703125" style="27" bestFit="1" customWidth="1"/>
    <col min="16130" max="16130" width="9.28515625" style="27" bestFit="1" customWidth="1"/>
    <col min="16131" max="16132" width="17.5703125" style="27" bestFit="1" customWidth="1"/>
    <col min="16133" max="16133" width="9.28515625" style="27" bestFit="1" customWidth="1"/>
    <col min="16134" max="16134" width="1.42578125" style="27" customWidth="1"/>
    <col min="16135" max="16135" width="8.28515625" style="27" bestFit="1" customWidth="1"/>
    <col min="16136" max="16136" width="16.5703125" style="27" bestFit="1" customWidth="1"/>
    <col min="16137" max="16137" width="1.7109375" style="27" customWidth="1"/>
    <col min="16138" max="16138" width="8.140625" style="27" bestFit="1" customWidth="1"/>
    <col min="16139" max="16139" width="12.85546875" style="27" bestFit="1" customWidth="1"/>
    <col min="16140" max="16384" width="11.5703125" style="27"/>
  </cols>
  <sheetData>
    <row r="1" spans="1:12" ht="15.6" customHeight="1" x14ac:dyDescent="0.3">
      <c r="A1" s="129" t="s">
        <v>85</v>
      </c>
    </row>
    <row r="2" spans="1:12" s="28" customFormat="1" ht="15.6" customHeight="1" x14ac:dyDescent="0.3">
      <c r="A2" s="129" t="s">
        <v>86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82"/>
    </row>
    <row r="3" spans="1:12" s="28" customFormat="1" ht="13.5" customHeight="1" x14ac:dyDescent="0.3">
      <c r="A3" s="129" t="s">
        <v>87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82"/>
    </row>
    <row r="4" spans="1:12" ht="8.25" customHeight="1" x14ac:dyDescent="0.3"/>
    <row r="5" spans="1:12" ht="19.149999999999999" customHeight="1" thickBot="1" x14ac:dyDescent="0.45">
      <c r="A5" s="185" t="s">
        <v>39</v>
      </c>
      <c r="B5" s="185"/>
      <c r="C5" s="185"/>
      <c r="D5" s="185"/>
      <c r="E5" s="185"/>
      <c r="F5" s="185"/>
      <c r="G5" s="185"/>
      <c r="H5" s="185"/>
      <c r="I5" s="185"/>
      <c r="J5" s="81"/>
      <c r="K5" s="81"/>
    </row>
    <row r="6" spans="1:12" ht="16.149999999999999" customHeight="1" thickBot="1" x14ac:dyDescent="0.45">
      <c r="A6" s="186" t="s">
        <v>134</v>
      </c>
      <c r="B6" s="187"/>
      <c r="C6" s="187"/>
      <c r="D6" s="187"/>
      <c r="E6" s="187"/>
      <c r="F6" s="187"/>
      <c r="G6" s="187"/>
      <c r="H6" s="187"/>
      <c r="I6" s="188"/>
      <c r="J6" s="81"/>
      <c r="K6" s="81"/>
    </row>
    <row r="7" spans="1:12" ht="16.5" customHeight="1" thickBot="1" x14ac:dyDescent="0.35">
      <c r="A7" s="36" t="s">
        <v>40</v>
      </c>
      <c r="B7" s="132">
        <f ca="1">NOW()</f>
        <v>44272.39841134259</v>
      </c>
    </row>
    <row r="8" spans="1:12" ht="16.899999999999999" customHeight="1" thickBot="1" x14ac:dyDescent="0.35">
      <c r="A8" s="189" t="s">
        <v>41</v>
      </c>
      <c r="B8" s="191" t="s">
        <v>74</v>
      </c>
      <c r="C8" s="192"/>
      <c r="D8" s="193"/>
      <c r="E8" s="191" t="s">
        <v>81</v>
      </c>
      <c r="F8" s="192"/>
      <c r="G8" s="193"/>
      <c r="H8" s="194" t="s">
        <v>75</v>
      </c>
      <c r="I8" s="195"/>
    </row>
    <row r="9" spans="1:12" ht="22.15" customHeight="1" x14ac:dyDescent="0.3">
      <c r="A9" s="190"/>
      <c r="B9" s="37" t="s">
        <v>44</v>
      </c>
      <c r="C9" s="37" t="s">
        <v>76</v>
      </c>
      <c r="D9" s="130" t="s">
        <v>77</v>
      </c>
      <c r="E9" s="37" t="s">
        <v>44</v>
      </c>
      <c r="F9" s="37" t="s">
        <v>76</v>
      </c>
      <c r="G9" s="130" t="s">
        <v>77</v>
      </c>
      <c r="H9" s="37" t="s">
        <v>78</v>
      </c>
      <c r="I9" s="131" t="s">
        <v>82</v>
      </c>
    </row>
    <row r="10" spans="1:12" x14ac:dyDescent="0.3">
      <c r="A10" s="160" t="s">
        <v>107</v>
      </c>
      <c r="B10" s="161"/>
      <c r="C10" s="161"/>
      <c r="D10" s="161"/>
      <c r="E10" s="161"/>
      <c r="F10" s="161"/>
      <c r="G10" s="161"/>
      <c r="H10" s="161"/>
      <c r="I10" s="162"/>
    </row>
    <row r="11" spans="1:12" x14ac:dyDescent="0.3">
      <c r="A11" s="114" t="s">
        <v>104</v>
      </c>
      <c r="B11" s="147">
        <v>1711</v>
      </c>
      <c r="C11" s="109">
        <f>'Detalle por sesión'!C54</f>
        <v>2127</v>
      </c>
      <c r="D11" s="110">
        <f t="shared" ref="D11:D25" si="0">C11/B11</f>
        <v>1.2431326709526593</v>
      </c>
      <c r="E11" s="112">
        <v>12752000000</v>
      </c>
      <c r="F11" s="126">
        <f>'Detalle por sesión'!N54</f>
        <v>13524047407</v>
      </c>
      <c r="G11" s="110">
        <f>F11/E11</f>
        <v>1.0605432408249686</v>
      </c>
      <c r="H11" s="109">
        <f>B11-C11</f>
        <v>-416</v>
      </c>
      <c r="I11" s="127">
        <f>E11-F11</f>
        <v>-772047407</v>
      </c>
    </row>
    <row r="12" spans="1:12" x14ac:dyDescent="0.3">
      <c r="A12" s="114" t="s">
        <v>105</v>
      </c>
      <c r="B12" s="147">
        <v>150</v>
      </c>
      <c r="C12" s="109">
        <f>'Detalle por sesión'!K54</f>
        <v>127</v>
      </c>
      <c r="D12" s="110">
        <f t="shared" si="0"/>
        <v>0.84666666666666668</v>
      </c>
      <c r="E12" s="112">
        <v>1215000000</v>
      </c>
      <c r="F12" s="126">
        <f>'Detalle por sesión'!V54</f>
        <v>1189133802</v>
      </c>
      <c r="G12" s="110">
        <f>F12/E12</f>
        <v>0.97871094814814819</v>
      </c>
      <c r="H12" s="109">
        <f t="shared" ref="H12:H13" si="1">B12-C12</f>
        <v>23</v>
      </c>
      <c r="I12" s="127">
        <f t="shared" ref="I12:I13" si="2">E12-F12</f>
        <v>25866198</v>
      </c>
    </row>
    <row r="13" spans="1:12" x14ac:dyDescent="0.3">
      <c r="A13" s="116" t="s">
        <v>54</v>
      </c>
      <c r="B13" s="41">
        <v>1118</v>
      </c>
      <c r="C13" s="148">
        <f>'Detalle por sesión'!G54</f>
        <v>881</v>
      </c>
      <c r="D13" s="111">
        <f t="shared" si="0"/>
        <v>0.78801431127012522</v>
      </c>
      <c r="E13" s="113">
        <v>4128000000</v>
      </c>
      <c r="F13" s="149">
        <f>'Detalle por sesión'!R54</f>
        <v>3412095381.0500002</v>
      </c>
      <c r="G13" s="111">
        <f>F13/E13</f>
        <v>0.82657349347141473</v>
      </c>
      <c r="H13" s="109">
        <f t="shared" si="1"/>
        <v>237</v>
      </c>
      <c r="I13" s="127">
        <f t="shared" si="2"/>
        <v>715904618.94999981</v>
      </c>
    </row>
    <row r="14" spans="1:12" x14ac:dyDescent="0.3">
      <c r="A14" s="117" t="s">
        <v>111</v>
      </c>
      <c r="B14" s="118">
        <f t="shared" ref="B14:I14" si="3">SUM(B11:B13)</f>
        <v>2979</v>
      </c>
      <c r="C14" s="118">
        <f t="shared" si="3"/>
        <v>3135</v>
      </c>
      <c r="D14" s="119">
        <f>C14/B14</f>
        <v>1.0523665659617321</v>
      </c>
      <c r="E14" s="120">
        <f t="shared" si="3"/>
        <v>18095000000</v>
      </c>
      <c r="F14" s="120">
        <f t="shared" si="3"/>
        <v>18125276590.049999</v>
      </c>
      <c r="G14" s="119">
        <f>F14/E14</f>
        <v>1.001673201992263</v>
      </c>
      <c r="H14" s="118">
        <f t="shared" si="3"/>
        <v>-156</v>
      </c>
      <c r="I14" s="128">
        <f t="shared" si="3"/>
        <v>-30276590.050000191</v>
      </c>
    </row>
    <row r="15" spans="1:12" x14ac:dyDescent="0.3">
      <c r="A15" s="163" t="s">
        <v>110</v>
      </c>
      <c r="B15" s="164"/>
      <c r="C15" s="164"/>
      <c r="D15" s="164"/>
      <c r="E15" s="164"/>
      <c r="F15" s="164"/>
      <c r="G15" s="164"/>
      <c r="H15" s="164"/>
      <c r="I15" s="165"/>
    </row>
    <row r="16" spans="1:12" x14ac:dyDescent="0.3">
      <c r="A16" s="114" t="s">
        <v>104</v>
      </c>
      <c r="B16" s="109">
        <v>32</v>
      </c>
      <c r="C16" s="109">
        <f>'Detalle por sesión'!D54</f>
        <v>21</v>
      </c>
      <c r="D16" s="110">
        <f t="shared" si="0"/>
        <v>0.65625</v>
      </c>
      <c r="E16" s="112">
        <v>590000000</v>
      </c>
      <c r="F16" s="126">
        <f>'Detalle por sesión'!O54</f>
        <v>348436995</v>
      </c>
      <c r="G16" s="110">
        <f>F16/E16</f>
        <v>0.5905711779661017</v>
      </c>
      <c r="H16" s="109">
        <f t="shared" ref="H16:H17" si="4">B16-C16</f>
        <v>11</v>
      </c>
      <c r="I16" s="127">
        <f t="shared" ref="I16:I17" si="5">E16-F16</f>
        <v>241563005</v>
      </c>
    </row>
    <row r="17" spans="1:9" x14ac:dyDescent="0.3">
      <c r="A17" s="116" t="s">
        <v>54</v>
      </c>
      <c r="B17" s="41">
        <v>4</v>
      </c>
      <c r="C17" s="41">
        <f>'Detalle por sesión'!H54</f>
        <v>1</v>
      </c>
      <c r="D17" s="111">
        <f t="shared" si="0"/>
        <v>0.25</v>
      </c>
      <c r="E17" s="113">
        <v>30000000</v>
      </c>
      <c r="F17" s="113">
        <f>'Detalle por sesión'!S54</f>
        <v>11760653</v>
      </c>
      <c r="G17" s="111">
        <f>F17/E17</f>
        <v>0.39202176666666666</v>
      </c>
      <c r="H17" s="109">
        <f t="shared" si="4"/>
        <v>3</v>
      </c>
      <c r="I17" s="127">
        <f t="shared" si="5"/>
        <v>18239347</v>
      </c>
    </row>
    <row r="18" spans="1:9" x14ac:dyDescent="0.3">
      <c r="A18" s="117" t="s">
        <v>111</v>
      </c>
      <c r="B18" s="118">
        <f t="shared" ref="B18:I18" si="6">SUM(B16:B17)</f>
        <v>36</v>
      </c>
      <c r="C18" s="118">
        <f t="shared" si="6"/>
        <v>22</v>
      </c>
      <c r="D18" s="119">
        <f>C18/B18</f>
        <v>0.61111111111111116</v>
      </c>
      <c r="E18" s="120">
        <f t="shared" si="6"/>
        <v>620000000</v>
      </c>
      <c r="F18" s="120">
        <f t="shared" si="6"/>
        <v>360197648</v>
      </c>
      <c r="G18" s="119">
        <f>F18/E18</f>
        <v>0.58096394838709675</v>
      </c>
      <c r="H18" s="118">
        <f t="shared" si="6"/>
        <v>14</v>
      </c>
      <c r="I18" s="128">
        <f t="shared" si="6"/>
        <v>259802352</v>
      </c>
    </row>
    <row r="19" spans="1:9" ht="13.9" customHeight="1" x14ac:dyDescent="0.3">
      <c r="A19" s="163" t="s">
        <v>108</v>
      </c>
      <c r="B19" s="164"/>
      <c r="C19" s="164"/>
      <c r="D19" s="164"/>
      <c r="E19" s="164"/>
      <c r="F19" s="164"/>
      <c r="G19" s="164"/>
      <c r="H19" s="164"/>
      <c r="I19" s="165"/>
    </row>
    <row r="20" spans="1:9" ht="13.9" customHeight="1" x14ac:dyDescent="0.3">
      <c r="A20" s="114" t="s">
        <v>104</v>
      </c>
      <c r="B20" s="109">
        <v>114</v>
      </c>
      <c r="C20" s="109">
        <f>'Detalle por sesión'!E54</f>
        <v>155</v>
      </c>
      <c r="D20" s="110">
        <f t="shared" si="0"/>
        <v>1.3596491228070176</v>
      </c>
      <c r="E20" s="112">
        <v>1045000000</v>
      </c>
      <c r="F20" s="40">
        <f>'Detalle por sesión'!P54</f>
        <v>886740122</v>
      </c>
      <c r="G20" s="110">
        <f>F20/E20</f>
        <v>0.84855514066985649</v>
      </c>
      <c r="H20" s="109">
        <f t="shared" ref="H20:H21" si="7">B20-C20</f>
        <v>-41</v>
      </c>
      <c r="I20" s="115">
        <f t="shared" ref="I20:I21" si="8">E20-F20</f>
        <v>158259878</v>
      </c>
    </row>
    <row r="21" spans="1:9" ht="13.9" customHeight="1" x14ac:dyDescent="0.3">
      <c r="A21" s="116" t="s">
        <v>54</v>
      </c>
      <c r="B21" s="41">
        <v>23</v>
      </c>
      <c r="C21" s="41">
        <f>'Detalle por sesión'!I54</f>
        <v>13</v>
      </c>
      <c r="D21" s="111">
        <f t="shared" si="0"/>
        <v>0.56521739130434778</v>
      </c>
      <c r="E21" s="113">
        <v>86000000</v>
      </c>
      <c r="F21" s="41">
        <f>'Detalle por sesión'!T54</f>
        <v>21322214</v>
      </c>
      <c r="G21" s="111">
        <f>F21/E21</f>
        <v>0.24793272093023255</v>
      </c>
      <c r="H21" s="109">
        <f t="shared" si="7"/>
        <v>10</v>
      </c>
      <c r="I21" s="115">
        <f t="shared" si="8"/>
        <v>64677786</v>
      </c>
    </row>
    <row r="22" spans="1:9" ht="13.9" customHeight="1" x14ac:dyDescent="0.3">
      <c r="A22" s="117" t="s">
        <v>111</v>
      </c>
      <c r="B22" s="118">
        <f t="shared" ref="B22:I22" si="9">SUM(B20:B21)</f>
        <v>137</v>
      </c>
      <c r="C22" s="118">
        <f t="shared" si="9"/>
        <v>168</v>
      </c>
      <c r="D22" s="119">
        <f>C22/B22</f>
        <v>1.2262773722627738</v>
      </c>
      <c r="E22" s="120">
        <f t="shared" si="9"/>
        <v>1131000000</v>
      </c>
      <c r="F22" s="118">
        <f t="shared" si="9"/>
        <v>908062336</v>
      </c>
      <c r="G22" s="119">
        <f>F22/E22</f>
        <v>0.8028844703801945</v>
      </c>
      <c r="H22" s="118">
        <f t="shared" si="9"/>
        <v>-31</v>
      </c>
      <c r="I22" s="121">
        <f t="shared" si="9"/>
        <v>222937664</v>
      </c>
    </row>
    <row r="23" spans="1:9" x14ac:dyDescent="0.3">
      <c r="A23" s="163" t="s">
        <v>109</v>
      </c>
      <c r="B23" s="164"/>
      <c r="C23" s="164"/>
      <c r="D23" s="164"/>
      <c r="E23" s="164"/>
      <c r="F23" s="164"/>
      <c r="G23" s="164"/>
      <c r="H23" s="164"/>
      <c r="I23" s="165"/>
    </row>
    <row r="24" spans="1:9" x14ac:dyDescent="0.3">
      <c r="A24" s="114" t="s">
        <v>106</v>
      </c>
      <c r="B24" s="109">
        <v>65</v>
      </c>
      <c r="C24" s="109">
        <f>'Detalle por sesión'!F54</f>
        <v>68</v>
      </c>
      <c r="D24" s="110">
        <f t="shared" si="0"/>
        <v>1.0461538461538462</v>
      </c>
      <c r="E24" s="122">
        <v>1098000000</v>
      </c>
      <c r="F24" s="109">
        <f>'Detalle por sesión'!Q54</f>
        <v>977413410</v>
      </c>
      <c r="G24" s="110">
        <f>F24/E24</f>
        <v>0.89017614754098362</v>
      </c>
      <c r="H24" s="109">
        <f t="shared" ref="H24:H25" si="10">B24-C24</f>
        <v>-3</v>
      </c>
      <c r="I24" s="115">
        <f t="shared" ref="I24:I25" si="11">E24-F24</f>
        <v>120586590</v>
      </c>
    </row>
    <row r="25" spans="1:9" x14ac:dyDescent="0.3">
      <c r="A25" s="114" t="s">
        <v>54</v>
      </c>
      <c r="B25" s="109">
        <v>15</v>
      </c>
      <c r="C25" s="109">
        <f>'Detalle por sesión'!J54</f>
        <v>3</v>
      </c>
      <c r="D25" s="110">
        <f t="shared" si="0"/>
        <v>0.2</v>
      </c>
      <c r="E25" s="122">
        <v>56000000</v>
      </c>
      <c r="F25" s="109">
        <f>'Detalle por sesión'!U54</f>
        <v>15462362</v>
      </c>
      <c r="G25" s="110">
        <f>F25/E25</f>
        <v>0.27611360714285715</v>
      </c>
      <c r="H25" s="109">
        <f t="shared" si="10"/>
        <v>12</v>
      </c>
      <c r="I25" s="115">
        <f t="shared" si="11"/>
        <v>40537638</v>
      </c>
    </row>
    <row r="26" spans="1:9" x14ac:dyDescent="0.3">
      <c r="A26" s="117" t="s">
        <v>111</v>
      </c>
      <c r="B26" s="118">
        <f>SUM(B24:B25)</f>
        <v>80</v>
      </c>
      <c r="C26" s="118">
        <f t="shared" ref="C26:I26" si="12">SUM(C24:C25)</f>
        <v>71</v>
      </c>
      <c r="D26" s="119">
        <f>C26/B26</f>
        <v>0.88749999999999996</v>
      </c>
      <c r="E26" s="123">
        <f t="shared" si="12"/>
        <v>1154000000</v>
      </c>
      <c r="F26" s="118">
        <f t="shared" si="12"/>
        <v>992875772</v>
      </c>
      <c r="G26" s="119">
        <f>F26/E26</f>
        <v>0.86037761871750429</v>
      </c>
      <c r="H26" s="118">
        <f t="shared" si="12"/>
        <v>9</v>
      </c>
      <c r="I26" s="121">
        <f t="shared" si="12"/>
        <v>161124228</v>
      </c>
    </row>
    <row r="27" spans="1:9" ht="20.25" customHeight="1" x14ac:dyDescent="0.3">
      <c r="A27" s="38" t="s">
        <v>51</v>
      </c>
      <c r="B27" s="38">
        <f>B11+B12+B13+B16+B17+B20+B21+B24+B25</f>
        <v>3232</v>
      </c>
      <c r="C27" s="38">
        <f>C11+C12+C13+C16+C17+C20+C21+C24+C25</f>
        <v>3396</v>
      </c>
      <c r="D27" s="125">
        <f>C27/B27</f>
        <v>1.0507425742574257</v>
      </c>
      <c r="E27" s="124">
        <f>E11+E12+E13+E16+E17+E20+E21+E24+E25</f>
        <v>21000000000</v>
      </c>
      <c r="F27" s="124">
        <f>F11+F12+F13+F16+F17+F20+F21+F24+F25</f>
        <v>20386412346.049999</v>
      </c>
      <c r="G27" s="125">
        <f>F27/E27</f>
        <v>0.97078154028809516</v>
      </c>
      <c r="H27" s="38">
        <f t="shared" ref="H27:I27" si="13">+H11+H12+H13+H16+H17+H20+H21+H24+H25</f>
        <v>-164</v>
      </c>
      <c r="I27" s="124">
        <f t="shared" si="13"/>
        <v>613587653.94999981</v>
      </c>
    </row>
    <row r="28" spans="1:9" ht="17.25" thickBot="1" x14ac:dyDescent="0.35"/>
    <row r="29" spans="1:9" ht="17.25" thickBot="1" x14ac:dyDescent="0.35">
      <c r="A29" s="180" t="s">
        <v>52</v>
      </c>
      <c r="B29" s="181"/>
      <c r="C29" s="181"/>
      <c r="D29" s="181"/>
      <c r="E29" s="182"/>
      <c r="F29" s="29"/>
    </row>
    <row r="30" spans="1:9" ht="7.5" customHeight="1" x14ac:dyDescent="0.3"/>
    <row r="31" spans="1:9" x14ac:dyDescent="0.3">
      <c r="A31" s="169" t="s">
        <v>41</v>
      </c>
      <c r="B31" s="172" t="s">
        <v>53</v>
      </c>
      <c r="C31" s="173"/>
      <c r="D31" s="176" t="s">
        <v>54</v>
      </c>
      <c r="E31" s="177"/>
      <c r="F31" s="29"/>
      <c r="G31" s="29"/>
    </row>
    <row r="32" spans="1:9" x14ac:dyDescent="0.3">
      <c r="A32" s="170"/>
      <c r="B32" s="174"/>
      <c r="C32" s="175"/>
      <c r="D32" s="178"/>
      <c r="E32" s="179"/>
      <c r="F32" s="29"/>
      <c r="G32" s="29"/>
    </row>
    <row r="33" spans="1:11" x14ac:dyDescent="0.3">
      <c r="A33" s="171"/>
      <c r="B33" s="43" t="s">
        <v>55</v>
      </c>
      <c r="C33" s="43" t="s">
        <v>19</v>
      </c>
      <c r="D33" s="43" t="s">
        <v>55</v>
      </c>
      <c r="E33" s="43" t="s">
        <v>19</v>
      </c>
      <c r="F33" s="29"/>
      <c r="G33" s="29"/>
    </row>
    <row r="34" spans="1:11" ht="16.5" customHeight="1" x14ac:dyDescent="0.3">
      <c r="A34" s="39" t="s">
        <v>47</v>
      </c>
      <c r="B34" s="44">
        <v>47</v>
      </c>
      <c r="C34" s="57">
        <v>525339362</v>
      </c>
      <c r="D34" s="44">
        <v>881</v>
      </c>
      <c r="E34" s="57">
        <v>3412095381.0500002</v>
      </c>
      <c r="F34" s="29"/>
      <c r="G34" s="29"/>
      <c r="I34" s="29"/>
      <c r="K34" s="29"/>
    </row>
    <row r="35" spans="1:11" ht="16.5" customHeight="1" x14ac:dyDescent="0.3">
      <c r="A35" s="39" t="s">
        <v>48</v>
      </c>
      <c r="B35" s="44">
        <v>1</v>
      </c>
      <c r="C35" s="57">
        <v>9184997</v>
      </c>
      <c r="D35" s="44">
        <f>'Detalle por sesión'!H54</f>
        <v>1</v>
      </c>
      <c r="E35" s="57">
        <f>'Detalle por sesión'!S54</f>
        <v>11760653</v>
      </c>
      <c r="F35" s="29"/>
      <c r="G35" s="29"/>
      <c r="I35" s="29"/>
      <c r="K35" s="29"/>
    </row>
    <row r="36" spans="1:11" ht="16.5" customHeight="1" x14ac:dyDescent="0.3">
      <c r="A36" s="39" t="s">
        <v>49</v>
      </c>
      <c r="B36" s="44">
        <v>6</v>
      </c>
      <c r="C36" s="57">
        <v>49463253</v>
      </c>
      <c r="D36" s="44">
        <v>13</v>
      </c>
      <c r="E36" s="57">
        <v>21322214</v>
      </c>
      <c r="F36" s="29"/>
      <c r="G36" s="29"/>
      <c r="I36" s="29"/>
      <c r="K36" s="29"/>
    </row>
    <row r="37" spans="1:11" ht="16.5" customHeight="1" x14ac:dyDescent="0.3">
      <c r="A37" s="39" t="s">
        <v>50</v>
      </c>
      <c r="B37" s="44">
        <v>1</v>
      </c>
      <c r="C37" s="57">
        <v>33947063</v>
      </c>
      <c r="D37" s="44">
        <f>'Detalle por sesión'!J54</f>
        <v>3</v>
      </c>
      <c r="E37" s="57">
        <f>'Detalle por sesión'!U54</f>
        <v>15462362</v>
      </c>
      <c r="F37" s="29"/>
      <c r="G37" s="29"/>
    </row>
    <row r="38" spans="1:11" x14ac:dyDescent="0.3">
      <c r="A38" s="42" t="s">
        <v>51</v>
      </c>
      <c r="B38" s="45">
        <f t="shared" ref="B38:C38" si="14">SUM(B34:B37)</f>
        <v>55</v>
      </c>
      <c r="C38" s="58">
        <f t="shared" si="14"/>
        <v>617934675</v>
      </c>
      <c r="D38" s="45">
        <f>SUM(D34:D37)</f>
        <v>898</v>
      </c>
      <c r="E38" s="58">
        <f>SUM(E34:E37)</f>
        <v>3460640610.0500002</v>
      </c>
      <c r="F38" s="29"/>
      <c r="G38" s="29"/>
    </row>
    <row r="39" spans="1:11" ht="17.25" thickBot="1" x14ac:dyDescent="0.35"/>
    <row r="40" spans="1:11" ht="17.25" thickBot="1" x14ac:dyDescent="0.35">
      <c r="A40" s="166" t="s">
        <v>84</v>
      </c>
      <c r="B40" s="167"/>
      <c r="C40" s="167"/>
      <c r="D40" s="167"/>
      <c r="E40" s="167"/>
      <c r="F40" s="167"/>
      <c r="G40" s="168"/>
      <c r="H40" s="1"/>
      <c r="I40" s="1"/>
      <c r="J40" s="1"/>
      <c r="K40" s="1"/>
    </row>
    <row r="41" spans="1:11" ht="7.15" customHeight="1" x14ac:dyDescent="0.3">
      <c r="C41" s="30"/>
    </row>
    <row r="42" spans="1:11" x14ac:dyDescent="0.3">
      <c r="A42" s="169" t="s">
        <v>41</v>
      </c>
      <c r="B42" s="172" t="s">
        <v>56</v>
      </c>
      <c r="C42" s="173"/>
      <c r="D42" s="172" t="s">
        <v>57</v>
      </c>
      <c r="E42" s="173"/>
      <c r="F42" s="172" t="s">
        <v>26</v>
      </c>
      <c r="G42" s="173"/>
      <c r="H42" s="176" t="s">
        <v>58</v>
      </c>
      <c r="I42" s="177"/>
      <c r="J42" s="176" t="s">
        <v>59</v>
      </c>
      <c r="K42" s="177"/>
    </row>
    <row r="43" spans="1:11" x14ac:dyDescent="0.3">
      <c r="A43" s="170"/>
      <c r="B43" s="174"/>
      <c r="C43" s="175"/>
      <c r="D43" s="174"/>
      <c r="E43" s="175"/>
      <c r="F43" s="174"/>
      <c r="G43" s="175"/>
      <c r="H43" s="178"/>
      <c r="I43" s="179"/>
      <c r="J43" s="178"/>
      <c r="K43" s="179"/>
    </row>
    <row r="44" spans="1:11" x14ac:dyDescent="0.3">
      <c r="A44" s="171"/>
      <c r="B44" s="43" t="s">
        <v>55</v>
      </c>
      <c r="C44" s="43" t="s">
        <v>19</v>
      </c>
      <c r="D44" s="43" t="s">
        <v>55</v>
      </c>
      <c r="E44" s="43" t="s">
        <v>19</v>
      </c>
      <c r="F44" s="43" t="s">
        <v>55</v>
      </c>
      <c r="G44" s="43" t="s">
        <v>19</v>
      </c>
      <c r="H44" s="43" t="s">
        <v>55</v>
      </c>
      <c r="I44" s="43" t="s">
        <v>19</v>
      </c>
      <c r="J44" s="43" t="s">
        <v>55</v>
      </c>
      <c r="K44" s="43" t="s">
        <v>19</v>
      </c>
    </row>
    <row r="45" spans="1:11" x14ac:dyDescent="0.3">
      <c r="A45" s="39" t="s">
        <v>47</v>
      </c>
      <c r="B45" s="46">
        <f>592+18</f>
        <v>610</v>
      </c>
      <c r="C45" s="59">
        <f>3869773384+234964788</f>
        <v>4104738172</v>
      </c>
      <c r="D45" s="46">
        <f>1615+29</f>
        <v>1644</v>
      </c>
      <c r="E45" s="59">
        <f>10318068463+290374574</f>
        <v>10608443037</v>
      </c>
      <c r="F45" s="44">
        <f t="shared" ref="F45:G52" si="15">B45+D45</f>
        <v>2254</v>
      </c>
      <c r="G45" s="59">
        <f t="shared" si="15"/>
        <v>14713181209</v>
      </c>
      <c r="H45" s="47">
        <f>B45/F45</f>
        <v>0.27062999112688552</v>
      </c>
      <c r="I45" s="47">
        <f>C45/G45</f>
        <v>0.27898372987407688</v>
      </c>
      <c r="J45" s="47">
        <f>D45/F45</f>
        <v>0.72937000887311443</v>
      </c>
      <c r="K45" s="47">
        <f>E45/G45</f>
        <v>0.72101627012592306</v>
      </c>
    </row>
    <row r="46" spans="1:11" x14ac:dyDescent="0.3">
      <c r="A46" s="39" t="s">
        <v>112</v>
      </c>
      <c r="B46" s="46">
        <v>285</v>
      </c>
      <c r="C46" s="59">
        <v>1310057585</v>
      </c>
      <c r="D46" s="46">
        <v>596</v>
      </c>
      <c r="E46" s="59">
        <v>2102037796.05</v>
      </c>
      <c r="F46" s="44">
        <f t="shared" si="15"/>
        <v>881</v>
      </c>
      <c r="G46" s="59">
        <f t="shared" si="15"/>
        <v>3412095381.0500002</v>
      </c>
      <c r="H46" s="47">
        <f t="shared" ref="H46:H52" si="16">B46/F46</f>
        <v>0.32349602724177073</v>
      </c>
      <c r="I46" s="47">
        <f t="shared" ref="I46:I52" si="17">C46/G46</f>
        <v>0.38394518285618895</v>
      </c>
      <c r="J46" s="47">
        <f t="shared" ref="J46:J52" si="18">D46/F46</f>
        <v>0.67650397275822927</v>
      </c>
      <c r="K46" s="47">
        <f t="shared" ref="K46:K52" si="19">E46/G46</f>
        <v>0.61605481714381094</v>
      </c>
    </row>
    <row r="47" spans="1:11" x14ac:dyDescent="0.3">
      <c r="A47" s="39" t="s">
        <v>48</v>
      </c>
      <c r="B47" s="44">
        <v>10</v>
      </c>
      <c r="C47" s="59">
        <v>204259168</v>
      </c>
      <c r="D47" s="44">
        <f>10+1</f>
        <v>11</v>
      </c>
      <c r="E47" s="59">
        <f>134992830+9184997</f>
        <v>144177827</v>
      </c>
      <c r="F47" s="44">
        <f t="shared" si="15"/>
        <v>21</v>
      </c>
      <c r="G47" s="59">
        <f t="shared" si="15"/>
        <v>348436995</v>
      </c>
      <c r="H47" s="47">
        <f t="shared" si="16"/>
        <v>0.47619047619047616</v>
      </c>
      <c r="I47" s="47">
        <f t="shared" si="17"/>
        <v>0.58621550217421659</v>
      </c>
      <c r="J47" s="47">
        <f t="shared" si="18"/>
        <v>0.52380952380952384</v>
      </c>
      <c r="K47" s="47">
        <f t="shared" si="19"/>
        <v>0.41378449782578341</v>
      </c>
    </row>
    <row r="48" spans="1:11" x14ac:dyDescent="0.3">
      <c r="A48" s="39" t="s">
        <v>113</v>
      </c>
      <c r="B48" s="44">
        <v>0</v>
      </c>
      <c r="C48" s="59">
        <v>0</v>
      </c>
      <c r="D48" s="44">
        <v>1</v>
      </c>
      <c r="E48" s="59">
        <v>11760653</v>
      </c>
      <c r="F48" s="44">
        <f t="shared" si="15"/>
        <v>1</v>
      </c>
      <c r="G48" s="59">
        <f t="shared" si="15"/>
        <v>11760653</v>
      </c>
      <c r="H48" s="47">
        <f t="shared" si="16"/>
        <v>0</v>
      </c>
      <c r="I48" s="47">
        <f t="shared" si="17"/>
        <v>0</v>
      </c>
      <c r="J48" s="47">
        <f t="shared" si="18"/>
        <v>1</v>
      </c>
      <c r="K48" s="47">
        <f t="shared" si="19"/>
        <v>1</v>
      </c>
    </row>
    <row r="49" spans="1:11" x14ac:dyDescent="0.3">
      <c r="A49" s="39" t="s">
        <v>49</v>
      </c>
      <c r="B49" s="44">
        <f>67+4</f>
        <v>71</v>
      </c>
      <c r="C49" s="59">
        <f>465221060+28846729</f>
        <v>494067789</v>
      </c>
      <c r="D49" s="44">
        <f>81+2</f>
        <v>83</v>
      </c>
      <c r="E49" s="59">
        <f>372753113+20616524</f>
        <v>393369637</v>
      </c>
      <c r="F49" s="44">
        <f t="shared" si="15"/>
        <v>154</v>
      </c>
      <c r="G49" s="59">
        <f t="shared" si="15"/>
        <v>887437426</v>
      </c>
      <c r="H49" s="47">
        <f t="shared" si="16"/>
        <v>0.46103896103896103</v>
      </c>
      <c r="I49" s="47">
        <f t="shared" si="17"/>
        <v>0.55673535341747016</v>
      </c>
      <c r="J49" s="47">
        <f t="shared" si="18"/>
        <v>0.53896103896103897</v>
      </c>
      <c r="K49" s="47">
        <f t="shared" si="19"/>
        <v>0.44326464658252984</v>
      </c>
    </row>
    <row r="50" spans="1:11" x14ac:dyDescent="0.3">
      <c r="A50" s="39" t="s">
        <v>114</v>
      </c>
      <c r="B50" s="44">
        <v>6</v>
      </c>
      <c r="C50" s="59">
        <v>9604663</v>
      </c>
      <c r="D50" s="44">
        <v>7</v>
      </c>
      <c r="E50" s="59">
        <v>11717551</v>
      </c>
      <c r="F50" s="44">
        <f t="shared" si="15"/>
        <v>13</v>
      </c>
      <c r="G50" s="59">
        <f t="shared" si="15"/>
        <v>21322214</v>
      </c>
      <c r="H50" s="47">
        <f t="shared" si="16"/>
        <v>0.46153846153846156</v>
      </c>
      <c r="I50" s="47">
        <f t="shared" si="17"/>
        <v>0.45045336286372512</v>
      </c>
      <c r="J50" s="47">
        <f t="shared" si="18"/>
        <v>0.53846153846153844</v>
      </c>
      <c r="K50" s="47">
        <f t="shared" si="19"/>
        <v>0.54954663713627483</v>
      </c>
    </row>
    <row r="51" spans="1:11" x14ac:dyDescent="0.3">
      <c r="A51" s="39" t="s">
        <v>50</v>
      </c>
      <c r="B51" s="44">
        <v>47</v>
      </c>
      <c r="C51" s="59">
        <v>642897835</v>
      </c>
      <c r="D51" s="44">
        <f>21+1</f>
        <v>22</v>
      </c>
      <c r="E51" s="59">
        <f>299871208+33947063</f>
        <v>333818271</v>
      </c>
      <c r="F51" s="44">
        <f t="shared" si="15"/>
        <v>69</v>
      </c>
      <c r="G51" s="59">
        <f t="shared" si="15"/>
        <v>976716106</v>
      </c>
      <c r="H51" s="47">
        <f t="shared" si="16"/>
        <v>0.6811594202898551</v>
      </c>
      <c r="I51" s="47">
        <f t="shared" si="17"/>
        <v>0.65822384933621647</v>
      </c>
      <c r="J51" s="47">
        <f t="shared" si="18"/>
        <v>0.3188405797101449</v>
      </c>
      <c r="K51" s="47">
        <f t="shared" si="19"/>
        <v>0.34177615066378358</v>
      </c>
    </row>
    <row r="52" spans="1:11" x14ac:dyDescent="0.3">
      <c r="A52" s="39" t="s">
        <v>115</v>
      </c>
      <c r="B52" s="44">
        <v>2</v>
      </c>
      <c r="C52" s="59">
        <v>5739362</v>
      </c>
      <c r="D52" s="44">
        <v>1</v>
      </c>
      <c r="E52" s="59">
        <v>9723000</v>
      </c>
      <c r="F52" s="44">
        <f t="shared" si="15"/>
        <v>3</v>
      </c>
      <c r="G52" s="59">
        <f t="shared" si="15"/>
        <v>15462362</v>
      </c>
      <c r="H52" s="47">
        <f t="shared" si="16"/>
        <v>0.66666666666666663</v>
      </c>
      <c r="I52" s="47">
        <f t="shared" si="17"/>
        <v>0.3711827468532945</v>
      </c>
      <c r="J52" s="47">
        <f t="shared" si="18"/>
        <v>0.33333333333333331</v>
      </c>
      <c r="K52" s="47">
        <f t="shared" si="19"/>
        <v>0.62881725314670556</v>
      </c>
    </row>
    <row r="53" spans="1:11" x14ac:dyDescent="0.3">
      <c r="A53" s="42" t="s">
        <v>51</v>
      </c>
      <c r="B53" s="45">
        <f>SUM(B45:B52)</f>
        <v>1031</v>
      </c>
      <c r="C53" s="60">
        <f t="shared" ref="C53:G53" si="20">SUM(C45:C52)</f>
        <v>6771364574</v>
      </c>
      <c r="D53" s="45">
        <f t="shared" si="20"/>
        <v>2365</v>
      </c>
      <c r="E53" s="60">
        <f t="shared" si="20"/>
        <v>13615047772.049999</v>
      </c>
      <c r="F53" s="48">
        <f>SUM(F45:F52)</f>
        <v>3396</v>
      </c>
      <c r="G53" s="61">
        <f t="shared" si="20"/>
        <v>20386412346.049999</v>
      </c>
      <c r="H53" s="47">
        <f t="shared" ref="H53:I53" si="21">B53/F53</f>
        <v>0.30359246171967019</v>
      </c>
      <c r="I53" s="47">
        <f t="shared" si="21"/>
        <v>0.33215086887575862</v>
      </c>
      <c r="J53" s="47">
        <f t="shared" ref="J53:K53" si="22">D53/F53</f>
        <v>0.69640753828032975</v>
      </c>
      <c r="K53" s="47">
        <f t="shared" si="22"/>
        <v>0.66784913112424138</v>
      </c>
    </row>
    <row r="54" spans="1:11" ht="17.25" thickBot="1" x14ac:dyDescent="0.35">
      <c r="E54" s="29"/>
      <c r="G54" s="29"/>
    </row>
    <row r="55" spans="1:11" ht="17.25" thickBot="1" x14ac:dyDescent="0.35">
      <c r="A55" s="166" t="s">
        <v>88</v>
      </c>
      <c r="B55" s="167"/>
      <c r="C55" s="167"/>
      <c r="D55" s="167"/>
      <c r="E55" s="167"/>
      <c r="F55" s="167"/>
      <c r="G55" s="168"/>
    </row>
    <row r="56" spans="1:11" ht="7.15" customHeight="1" x14ac:dyDescent="0.3"/>
    <row r="57" spans="1:11" ht="27" x14ac:dyDescent="0.3">
      <c r="A57" s="43" t="s">
        <v>60</v>
      </c>
      <c r="B57" s="43" t="s">
        <v>63</v>
      </c>
      <c r="C57" s="43" t="s">
        <v>64</v>
      </c>
      <c r="D57" s="43" t="s">
        <v>62</v>
      </c>
      <c r="E57" s="43" t="s">
        <v>63</v>
      </c>
      <c r="F57" s="43" t="s">
        <v>64</v>
      </c>
      <c r="G57" s="43" t="s">
        <v>19</v>
      </c>
    </row>
    <row r="58" spans="1:11" ht="42.75" customHeight="1" x14ac:dyDescent="0.3">
      <c r="A58" s="2" t="s">
        <v>61</v>
      </c>
      <c r="B58" s="50">
        <v>981</v>
      </c>
      <c r="C58" s="50">
        <v>1384</v>
      </c>
      <c r="D58" s="49">
        <f>+B58+C58</f>
        <v>2365</v>
      </c>
      <c r="E58" s="51">
        <v>5404568852</v>
      </c>
      <c r="F58" s="73">
        <v>8210478920.0500002</v>
      </c>
      <c r="G58" s="63">
        <f>+E58+F58</f>
        <v>13615047772.049999</v>
      </c>
    </row>
    <row r="59" spans="1:11" ht="43.5" customHeight="1" x14ac:dyDescent="0.3">
      <c r="A59" s="2" t="s">
        <v>80</v>
      </c>
      <c r="B59" s="50">
        <v>436</v>
      </c>
      <c r="C59" s="50">
        <v>595</v>
      </c>
      <c r="D59" s="49">
        <f>B59+C59</f>
        <v>1031</v>
      </c>
      <c r="E59" s="51">
        <v>2727917536</v>
      </c>
      <c r="F59" s="73">
        <v>4043447038</v>
      </c>
      <c r="G59" s="63">
        <f>SUM(E59:F59)</f>
        <v>6771364574</v>
      </c>
    </row>
    <row r="60" spans="1:11" x14ac:dyDescent="0.3">
      <c r="A60" s="42" t="s">
        <v>51</v>
      </c>
      <c r="B60" s="48">
        <f t="shared" ref="B60:C60" si="23">SUM(B58:B59)</f>
        <v>1417</v>
      </c>
      <c r="C60" s="48">
        <f t="shared" si="23"/>
        <v>1979</v>
      </c>
      <c r="D60" s="48">
        <f>SUM(D58:D59)</f>
        <v>3396</v>
      </c>
      <c r="E60" s="48">
        <f>SUM(E58:E59)</f>
        <v>8132486388</v>
      </c>
      <c r="F60" s="48">
        <f>SUM(F58:F59)</f>
        <v>12253925958.049999</v>
      </c>
      <c r="G60" s="45">
        <f>SUM(G58:G59)</f>
        <v>20386412346.049999</v>
      </c>
    </row>
    <row r="61" spans="1:11" ht="14.45" customHeight="1" thickBot="1" x14ac:dyDescent="0.35">
      <c r="A61" s="26"/>
    </row>
    <row r="62" spans="1:11" ht="17.25" thickBot="1" x14ac:dyDescent="0.35">
      <c r="A62" s="166" t="s">
        <v>83</v>
      </c>
      <c r="B62" s="167"/>
      <c r="C62" s="167"/>
      <c r="D62" s="167"/>
      <c r="E62" s="167"/>
      <c r="F62" s="167"/>
      <c r="G62" s="167"/>
      <c r="H62" s="167"/>
      <c r="I62" s="168"/>
      <c r="J62" s="36"/>
    </row>
    <row r="63" spans="1:11" ht="6" customHeight="1" x14ac:dyDescent="0.3">
      <c r="A63" s="1"/>
      <c r="B63" s="1"/>
      <c r="C63" s="1"/>
      <c r="D63" s="1"/>
      <c r="E63" s="1"/>
    </row>
    <row r="64" spans="1:11" x14ac:dyDescent="0.3">
      <c r="A64" s="169" t="s">
        <v>65</v>
      </c>
      <c r="B64" s="133" t="s">
        <v>42</v>
      </c>
      <c r="C64" s="172" t="s">
        <v>43</v>
      </c>
      <c r="D64" s="173"/>
      <c r="E64" s="133" t="s">
        <v>19</v>
      </c>
      <c r="F64" s="172" t="s">
        <v>43</v>
      </c>
      <c r="G64" s="173"/>
    </row>
    <row r="65" spans="1:14" ht="20.45" customHeight="1" x14ac:dyDescent="0.3">
      <c r="A65" s="171"/>
      <c r="B65" s="52" t="s">
        <v>44</v>
      </c>
      <c r="C65" s="52" t="s">
        <v>45</v>
      </c>
      <c r="D65" s="52" t="s">
        <v>46</v>
      </c>
      <c r="E65" s="52" t="s">
        <v>44</v>
      </c>
      <c r="F65" s="52" t="s">
        <v>45</v>
      </c>
      <c r="G65" s="52" t="s">
        <v>46</v>
      </c>
      <c r="I65" s="31"/>
    </row>
    <row r="66" spans="1:14" ht="20.25" customHeight="1" x14ac:dyDescent="0.3">
      <c r="A66" s="2" t="s">
        <v>66</v>
      </c>
      <c r="B66" s="50">
        <f>B68*0.38</f>
        <v>1228.1600000000001</v>
      </c>
      <c r="C66" s="53">
        <v>1359</v>
      </c>
      <c r="D66" s="54">
        <f>+C66/B66</f>
        <v>1.1065333507034913</v>
      </c>
      <c r="E66" s="134">
        <f>E68*0.32</f>
        <v>6720000000</v>
      </c>
      <c r="F66" s="51">
        <v>6152551686</v>
      </c>
      <c r="G66" s="54">
        <f>+F66/E66</f>
        <v>0.91555828660714289</v>
      </c>
      <c r="I66" s="31"/>
    </row>
    <row r="67" spans="1:14" ht="27.6" customHeight="1" x14ac:dyDescent="0.3">
      <c r="A67" s="2" t="s">
        <v>67</v>
      </c>
      <c r="B67" s="50">
        <f>B68*0.62</f>
        <v>2003.84</v>
      </c>
      <c r="C67" s="53">
        <v>2037</v>
      </c>
      <c r="D67" s="54">
        <f>+C67/B67</f>
        <v>1.0165482274033855</v>
      </c>
      <c r="E67" s="134">
        <v>14280000000</v>
      </c>
      <c r="F67" s="51">
        <v>14233860660.049999</v>
      </c>
      <c r="G67" s="54">
        <f>+F67/E67</f>
        <v>0.99676895378501396</v>
      </c>
      <c r="I67" s="75"/>
      <c r="K67" s="31"/>
      <c r="M67" s="75"/>
    </row>
    <row r="68" spans="1:14" x14ac:dyDescent="0.3">
      <c r="A68" s="2" t="s">
        <v>26</v>
      </c>
      <c r="B68" s="55">
        <f>B27</f>
        <v>3232</v>
      </c>
      <c r="C68" s="55">
        <f>SUM(C66:C67)</f>
        <v>3396</v>
      </c>
      <c r="D68" s="56">
        <f>+C68/B68</f>
        <v>1.0507425742574257</v>
      </c>
      <c r="E68" s="55">
        <f>E27</f>
        <v>21000000000</v>
      </c>
      <c r="F68" s="55">
        <f>SUM(F66:F67)</f>
        <v>20386412346.049999</v>
      </c>
      <c r="G68" s="56">
        <f>+F68/E68</f>
        <v>0.97078154028809516</v>
      </c>
      <c r="I68" s="31"/>
      <c r="L68" s="30"/>
      <c r="M68" s="30"/>
      <c r="N68" s="30"/>
    </row>
    <row r="69" spans="1:14" x14ac:dyDescent="0.3">
      <c r="C69" s="30"/>
      <c r="F69" s="30"/>
      <c r="L69" s="29"/>
    </row>
    <row r="70" spans="1:14" ht="14.25" customHeight="1" x14ac:dyDescent="0.3">
      <c r="A70" s="62" t="s">
        <v>116</v>
      </c>
      <c r="B70" s="3"/>
      <c r="C70" s="3"/>
      <c r="D70" s="4"/>
      <c r="F70" s="3"/>
    </row>
    <row r="71" spans="1:14" ht="14.25" customHeight="1" x14ac:dyDescent="0.3">
      <c r="A71" s="62" t="s">
        <v>117</v>
      </c>
      <c r="B71" s="32"/>
      <c r="C71" s="33"/>
    </row>
    <row r="72" spans="1:14" ht="40.9" customHeight="1" x14ac:dyDescent="0.3">
      <c r="A72" s="183" t="s">
        <v>79</v>
      </c>
      <c r="B72" s="183"/>
      <c r="C72" s="183"/>
      <c r="D72" s="183"/>
      <c r="E72" s="183"/>
      <c r="F72" s="183"/>
      <c r="G72" s="183"/>
      <c r="H72" s="183"/>
      <c r="I72" s="183"/>
      <c r="J72" s="183"/>
      <c r="K72" s="34"/>
      <c r="L72" s="35"/>
      <c r="M72" s="35"/>
      <c r="N72" s="35"/>
    </row>
    <row r="73" spans="1:14" ht="10.5" customHeight="1" x14ac:dyDescent="0.3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5"/>
      <c r="M73" s="35"/>
      <c r="N73" s="35"/>
    </row>
    <row r="74" spans="1:14" ht="30.75" customHeight="1" x14ac:dyDescent="0.4">
      <c r="A74" s="184"/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35"/>
      <c r="M74" s="35"/>
      <c r="N74" s="35"/>
    </row>
    <row r="75" spans="1:14" x14ac:dyDescent="0.3">
      <c r="B75" s="32"/>
      <c r="C75" s="33"/>
    </row>
    <row r="79" spans="1:14" ht="21" customHeight="1" x14ac:dyDescent="0.3"/>
  </sheetData>
  <protectedRanges>
    <protectedRange sqref="C66" name="Rango2_1"/>
    <protectedRange sqref="C67 E70 F66:F67" name="Rango5"/>
    <protectedRange sqref="B58:C59 E59:F59 E58" name="Rango4"/>
    <protectedRange sqref="D45:E52" name="Rango3"/>
    <protectedRange sqref="B34:E37" name="Rango1"/>
    <protectedRange sqref="A6:K6" name="Rango6"/>
  </protectedRanges>
  <mergeCells count="28">
    <mergeCell ref="A5:I5"/>
    <mergeCell ref="A6:I6"/>
    <mergeCell ref="A8:A9"/>
    <mergeCell ref="B8:D8"/>
    <mergeCell ref="E8:G8"/>
    <mergeCell ref="H8:I8"/>
    <mergeCell ref="J42:K43"/>
    <mergeCell ref="A42:A44"/>
    <mergeCell ref="B42:C43"/>
    <mergeCell ref="D42:E43"/>
    <mergeCell ref="F42:G43"/>
    <mergeCell ref="H42:I43"/>
    <mergeCell ref="A72:J72"/>
    <mergeCell ref="A74:K74"/>
    <mergeCell ref="A55:G55"/>
    <mergeCell ref="A62:I62"/>
    <mergeCell ref="A64:A65"/>
    <mergeCell ref="C64:D64"/>
    <mergeCell ref="F64:G64"/>
    <mergeCell ref="A10:I10"/>
    <mergeCell ref="A15:I15"/>
    <mergeCell ref="A19:I19"/>
    <mergeCell ref="A23:I23"/>
    <mergeCell ref="A40:G40"/>
    <mergeCell ref="A31:A33"/>
    <mergeCell ref="B31:C32"/>
    <mergeCell ref="D31:E32"/>
    <mergeCell ref="A29:E29"/>
  </mergeCells>
  <printOptions horizontalCentered="1" verticalCentered="1"/>
  <pageMargins left="0.25" right="0.25" top="0.75" bottom="0.75" header="0.3" footer="0.3"/>
  <pageSetup scale="70" fitToHeight="2" orientation="portrait" r:id="rId1"/>
  <ignoredErrors>
    <ignoredError sqref="I50 H47:H48 H50:H52 I47:K48 J50:K52 I51:I52" evalError="1"/>
    <ignoredError sqref="D14 G14 D18 G18 D22 G22 G26 D26:D27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 filterMode="1"/>
  <dimension ref="B8:H15"/>
  <sheetViews>
    <sheetView workbookViewId="0">
      <selection activeCell="E15" sqref="E15"/>
    </sheetView>
  </sheetViews>
  <sheetFormatPr baseColWidth="10" defaultRowHeight="12.75" x14ac:dyDescent="0.2"/>
  <cols>
    <col min="3" max="3" width="16.28515625" customWidth="1"/>
    <col min="4" max="4" width="15.7109375" bestFit="1" customWidth="1"/>
  </cols>
  <sheetData>
    <row r="8" spans="2:8" s="64" customFormat="1" ht="38.25" x14ac:dyDescent="0.2">
      <c r="B8" s="64" t="s">
        <v>89</v>
      </c>
      <c r="C8" s="64" t="s">
        <v>90</v>
      </c>
      <c r="D8" s="64" t="s">
        <v>19</v>
      </c>
      <c r="E8" s="64" t="s">
        <v>55</v>
      </c>
      <c r="F8" s="64" t="s">
        <v>63</v>
      </c>
      <c r="G8" s="64" t="s">
        <v>64</v>
      </c>
      <c r="H8" s="64" t="s">
        <v>91</v>
      </c>
    </row>
    <row r="9" spans="2:8" s="5" customFormat="1" ht="36" x14ac:dyDescent="0.2">
      <c r="B9" s="65" t="s">
        <v>92</v>
      </c>
      <c r="C9" s="65" t="s">
        <v>93</v>
      </c>
      <c r="D9" s="66">
        <v>11909660</v>
      </c>
      <c r="E9" s="65">
        <v>6</v>
      </c>
      <c r="F9" s="65">
        <v>2</v>
      </c>
      <c r="G9" s="65">
        <v>4</v>
      </c>
      <c r="H9" s="65">
        <v>6</v>
      </c>
    </row>
    <row r="10" spans="2:8" s="5" customFormat="1" ht="48" hidden="1" x14ac:dyDescent="0.2">
      <c r="B10" s="67" t="s">
        <v>92</v>
      </c>
      <c r="C10" s="67" t="s">
        <v>94</v>
      </c>
      <c r="D10" s="68">
        <v>1523840</v>
      </c>
      <c r="E10" s="67">
        <v>3</v>
      </c>
      <c r="F10" s="67">
        <v>1</v>
      </c>
      <c r="G10" s="67">
        <v>2</v>
      </c>
      <c r="H10" s="67">
        <v>3</v>
      </c>
    </row>
    <row r="11" spans="2:8" s="5" customFormat="1" ht="24" x14ac:dyDescent="0.2">
      <c r="B11" s="65" t="s">
        <v>92</v>
      </c>
      <c r="C11" s="65" t="s">
        <v>69</v>
      </c>
      <c r="D11" s="66">
        <v>145603393</v>
      </c>
      <c r="E11" s="65">
        <v>17</v>
      </c>
      <c r="F11" s="65">
        <v>11</v>
      </c>
      <c r="G11" s="65">
        <v>6</v>
      </c>
      <c r="H11" s="65">
        <v>17</v>
      </c>
    </row>
    <row r="12" spans="2:8" s="5" customFormat="1" ht="36" hidden="1" x14ac:dyDescent="0.2">
      <c r="B12" s="67" t="s">
        <v>92</v>
      </c>
      <c r="C12" s="67" t="s">
        <v>70</v>
      </c>
      <c r="D12" s="68">
        <v>62266551</v>
      </c>
      <c r="E12" s="67">
        <v>17</v>
      </c>
      <c r="F12" s="67">
        <v>8</v>
      </c>
      <c r="G12" s="67">
        <v>9</v>
      </c>
      <c r="H12" s="67">
        <v>17</v>
      </c>
    </row>
    <row r="13" spans="2:8" s="5" customFormat="1" ht="24" x14ac:dyDescent="0.2">
      <c r="B13" s="65" t="s">
        <v>95</v>
      </c>
      <c r="C13" s="65" t="s">
        <v>69</v>
      </c>
      <c r="D13" s="66">
        <v>11464321415</v>
      </c>
      <c r="E13" s="66">
        <v>1461</v>
      </c>
      <c r="F13" s="65">
        <v>542</v>
      </c>
      <c r="G13" s="65">
        <v>919</v>
      </c>
      <c r="H13" s="69">
        <v>1461</v>
      </c>
    </row>
    <row r="14" spans="2:8" s="5" customFormat="1" ht="36" hidden="1" x14ac:dyDescent="0.2">
      <c r="B14" s="70" t="s">
        <v>95</v>
      </c>
      <c r="C14" s="70" t="s">
        <v>70</v>
      </c>
      <c r="D14" s="71">
        <v>4553728372</v>
      </c>
      <c r="E14" s="70">
        <v>988</v>
      </c>
      <c r="F14" s="70">
        <v>347</v>
      </c>
      <c r="G14" s="70">
        <v>641</v>
      </c>
      <c r="H14" s="70">
        <v>988</v>
      </c>
    </row>
    <row r="15" spans="2:8" x14ac:dyDescent="0.2">
      <c r="D15" s="72">
        <f>SUBTOTAL(9,D9:D14)</f>
        <v>11621834468</v>
      </c>
      <c r="E15" s="72">
        <f>SUBTOTAL(9,E9:E14)</f>
        <v>1484</v>
      </c>
      <c r="F15" s="72">
        <f t="shared" ref="F15:H15" si="0">SUBTOTAL(9,F9:F14)</f>
        <v>555</v>
      </c>
      <c r="G15" s="72">
        <f t="shared" si="0"/>
        <v>929</v>
      </c>
      <c r="H15" s="72">
        <f t="shared" si="0"/>
        <v>1484</v>
      </c>
    </row>
  </sheetData>
  <autoFilter ref="B8:H14" xr:uid="{00000000-0009-0000-0000-000003000000}">
    <filterColumn colId="1">
      <filters>
        <filter val="AMPLIACION - CIENCIA Y TECNOLOGIA"/>
        <filter val="CIENCIA Y TECNOLOGIA"/>
      </filters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Detalle por sesión</vt:lpstr>
      <vt:lpstr>SERIE AÑO</vt:lpstr>
      <vt:lpstr>ESTADISTICA ENVIO SEMANAL</vt:lpstr>
      <vt:lpstr>Hoja1</vt:lpstr>
      <vt:lpstr>'ESTADISTICA ENVIO SEMANAL'!Área_de_impresión</vt:lpstr>
      <vt:lpstr>'SERIE AÑO'!Print_Area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Noilly Zamora Segura</dc:creator>
  <cp:lastModifiedBy>Roger Granados Ugalde</cp:lastModifiedBy>
  <cp:lastPrinted>2020-12-18T17:36:11Z</cp:lastPrinted>
  <dcterms:created xsi:type="dcterms:W3CDTF">2008-05-26T13:44:27Z</dcterms:created>
  <dcterms:modified xsi:type="dcterms:W3CDTF">2021-03-17T15:33:42Z</dcterms:modified>
</cp:coreProperties>
</file>